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an_Laptop\Qsync\Lab Research\Mass Calculator\"/>
    </mc:Choice>
  </mc:AlternateContent>
  <bookViews>
    <workbookView xWindow="-105" yWindow="30" windowWidth="18915" windowHeight="7455" tabRatio="859"/>
  </bookViews>
  <sheets>
    <sheet name="Sequence Calculations" sheetId="22" r:id="rId1"/>
    <sheet name="Mass Ion Calculations" sheetId="1" r:id="rId2"/>
    <sheet name="1st Deletion Fragment" sheetId="18" state="hidden" r:id="rId3"/>
    <sheet name="AA Exact Masses" sheetId="2" state="hidden" r:id="rId4"/>
    <sheet name="H+ Double Deletion" sheetId="6" state="hidden" r:id="rId5"/>
    <sheet name="Na+ Double Deletion" sheetId="9" state="hidden" r:id="rId6"/>
    <sheet name="H+Na Double Deletion" sheetId="7" state="hidden" r:id="rId7"/>
    <sheet name="2Na+ Double Deletion" sheetId="10" state="hidden" r:id="rId8"/>
    <sheet name="2H+Double Deletion" sheetId="11" state="hidden" r:id="rId9"/>
    <sheet name="Hydrophobicity calculations" sheetId="26" state="hidden" r:id="rId10"/>
    <sheet name="Aggregate" sheetId="19" state="hidden" r:id="rId11"/>
    <sheet name="Single Addition" sheetId="21" state="hidden" r:id="rId12"/>
    <sheet name="Molecular Weight" sheetId="23" state="hidden" r:id="rId13"/>
    <sheet name="How Much is Hao" sheetId="24" r:id="rId14"/>
    <sheet name="raw material cost" sheetId="25" state="hidden" r:id="rId15"/>
  </sheets>
  <externalReferences>
    <externalReference r:id="rId16"/>
  </externalReferences>
  <definedNames>
    <definedName name="AA">'AA Exact Masses'!$A$2:$A$2</definedName>
    <definedName name="Amino_Acids">'AA Exact Masses'!#REF!</definedName>
    <definedName name="AminoAcid">'AA Exact Masses'!$A$2:$A$52</definedName>
    <definedName name="AminoAcids">'[1]AA Exact Masses 2'!$A$2:$A$29</definedName>
    <definedName name="Answer">'AA Exact Masses'!$S$1:$S$3</definedName>
    <definedName name="Answer2">'AA Exact Masses'!$S$2:$S$3</definedName>
    <definedName name="OneDel">'1st Deletion Fragment'!$Y$5:$AH$30</definedName>
  </definedNames>
  <calcPr calcId="152511"/>
</workbook>
</file>

<file path=xl/calcChain.xml><?xml version="1.0" encoding="utf-8"?>
<calcChain xmlns="http://schemas.openxmlformats.org/spreadsheetml/2006/main">
  <c r="O48" i="2" l="1"/>
  <c r="E48" i="2"/>
  <c r="O18" i="2"/>
  <c r="D18" i="2"/>
  <c r="C18" i="2"/>
  <c r="E18" i="2" s="1"/>
  <c r="B16" i="26" l="1"/>
  <c r="B15" i="26"/>
  <c r="B9" i="26"/>
  <c r="B6" i="26"/>
  <c r="B5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C5" i="26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4" i="26"/>
  <c r="J5" i="26"/>
  <c r="J6" i="26"/>
  <c r="J7" i="26"/>
  <c r="J9" i="26"/>
  <c r="J15" i="26"/>
  <c r="J16" i="26"/>
  <c r="I16" i="26"/>
  <c r="I15" i="26"/>
  <c r="I9" i="26"/>
  <c r="I6" i="26"/>
  <c r="I5" i="26"/>
  <c r="H16" i="26"/>
  <c r="H15" i="26"/>
  <c r="H9" i="26"/>
  <c r="H6" i="26"/>
  <c r="H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D51" i="24" l="1"/>
  <c r="C51" i="24"/>
  <c r="C43" i="24"/>
  <c r="D43" i="24" s="1"/>
  <c r="C28" i="25"/>
  <c r="D40" i="24" s="1"/>
  <c r="D39" i="24"/>
  <c r="C26" i="25"/>
  <c r="D15" i="24"/>
  <c r="C34" i="24"/>
  <c r="D34" i="24" s="1"/>
  <c r="D33" i="24"/>
  <c r="C24" i="25"/>
  <c r="C22" i="25"/>
  <c r="D41" i="24" s="1"/>
  <c r="D30" i="24"/>
  <c r="C20" i="25"/>
  <c r="C18" i="25"/>
  <c r="D24" i="24" s="1"/>
  <c r="C12" i="25"/>
  <c r="D14" i="24" s="1"/>
  <c r="C16" i="25"/>
  <c r="D21" i="24" s="1"/>
  <c r="C14" i="25"/>
  <c r="D20" i="24" s="1"/>
  <c r="C15" i="24"/>
  <c r="C10" i="25"/>
  <c r="D13" i="24" s="1"/>
  <c r="C8" i="25"/>
  <c r="D12" i="24" s="1"/>
  <c r="D5" i="24"/>
  <c r="C6" i="25"/>
  <c r="C4" i="25"/>
  <c r="D6" i="24" s="1"/>
  <c r="C2" i="25"/>
  <c r="D4" i="24" s="1"/>
  <c r="D8" i="24" s="1"/>
  <c r="D16" i="24" l="1"/>
  <c r="D17" i="24" s="1"/>
  <c r="D23" i="24" s="1"/>
  <c r="D32" i="24"/>
  <c r="D35" i="24" s="1"/>
  <c r="D36" i="24" s="1"/>
  <c r="D42" i="24" s="1"/>
  <c r="D44" i="24" s="1"/>
  <c r="D45" i="24" s="1"/>
  <c r="D49" i="24" s="1"/>
  <c r="D52" i="24" s="1"/>
  <c r="D53" i="24" s="1"/>
  <c r="D50" i="24"/>
  <c r="D9" i="24"/>
  <c r="D22" i="24" s="1"/>
  <c r="D26" i="24" s="1"/>
  <c r="D27" i="24" s="1"/>
  <c r="D31" i="24" s="1"/>
  <c r="C50" i="2"/>
  <c r="E50" i="2" s="1"/>
  <c r="D50" i="2"/>
  <c r="E48" i="1"/>
  <c r="E49" i="1"/>
  <c r="C48" i="1"/>
  <c r="Z48" i="1" s="1"/>
  <c r="C49" i="1"/>
  <c r="Z49" i="1" s="1"/>
  <c r="AA48" i="1"/>
  <c r="AB48" i="1"/>
  <c r="AC48" i="1"/>
  <c r="AD48" i="1"/>
  <c r="AE48" i="1"/>
  <c r="AF48" i="1"/>
  <c r="AG48" i="1"/>
  <c r="AH48" i="1"/>
  <c r="AA49" i="1"/>
  <c r="AB49" i="1"/>
  <c r="AC49" i="1"/>
  <c r="AD49" i="1"/>
  <c r="AE49" i="1"/>
  <c r="AF49" i="1"/>
  <c r="AG49" i="1"/>
  <c r="AH49" i="1"/>
  <c r="AA50" i="1"/>
  <c r="AB50" i="1"/>
  <c r="AC50" i="1"/>
  <c r="AD50" i="1"/>
  <c r="AE50" i="1"/>
  <c r="AF50" i="1"/>
  <c r="AG50" i="1"/>
  <c r="AH50" i="1"/>
  <c r="AA51" i="1"/>
  <c r="AB51" i="1"/>
  <c r="AC51" i="1"/>
  <c r="AD51" i="1"/>
  <c r="AE51" i="1"/>
  <c r="AF51" i="1"/>
  <c r="AG51" i="1"/>
  <c r="AH51" i="1"/>
  <c r="AA52" i="1"/>
  <c r="AB52" i="1"/>
  <c r="AC52" i="1"/>
  <c r="AD52" i="1"/>
  <c r="AE52" i="1"/>
  <c r="AF52" i="1"/>
  <c r="AG52" i="1"/>
  <c r="AH52" i="1"/>
  <c r="AA53" i="1"/>
  <c r="AB53" i="1"/>
  <c r="AC53" i="1"/>
  <c r="AD53" i="1"/>
  <c r="AE53" i="1"/>
  <c r="AF53" i="1"/>
  <c r="AG53" i="1"/>
  <c r="AH53" i="1"/>
  <c r="AA54" i="1"/>
  <c r="AB54" i="1"/>
  <c r="AC54" i="1"/>
  <c r="AD54" i="1"/>
  <c r="AE54" i="1"/>
  <c r="AF54" i="1"/>
  <c r="AG54" i="1"/>
  <c r="AH54" i="1"/>
  <c r="W48" i="1"/>
  <c r="W49" i="1"/>
  <c r="W50" i="1"/>
  <c r="W51" i="1"/>
  <c r="W52" i="1"/>
  <c r="W53" i="1"/>
  <c r="W54" i="1"/>
  <c r="O57" i="22"/>
  <c r="O54" i="22"/>
  <c r="O55" i="22"/>
  <c r="O56" i="22"/>
  <c r="E54" i="22"/>
  <c r="G54" i="22" s="1"/>
  <c r="E55" i="22"/>
  <c r="G55" i="22" s="1"/>
  <c r="E56" i="22"/>
  <c r="G56" i="22" s="1"/>
  <c r="E57" i="22"/>
  <c r="G57" i="22" s="1"/>
  <c r="O45" i="22"/>
  <c r="O46" i="22"/>
  <c r="O47" i="22"/>
  <c r="O48" i="22"/>
  <c r="O49" i="22"/>
  <c r="O50" i="22"/>
  <c r="O51" i="22"/>
  <c r="O52" i="22"/>
  <c r="O53" i="22"/>
  <c r="O15" i="22"/>
  <c r="E47" i="22" l="1"/>
  <c r="E40" i="22" l="1"/>
  <c r="G40" i="22" s="1"/>
  <c r="E41" i="22"/>
  <c r="G41" i="22" s="1"/>
  <c r="E42" i="22"/>
  <c r="G42" i="22" s="1"/>
  <c r="E43" i="22"/>
  <c r="G43" i="22" s="1"/>
  <c r="E44" i="22"/>
  <c r="G44" i="22" s="1"/>
  <c r="E45" i="22"/>
  <c r="G45" i="22" s="1"/>
  <c r="E46" i="22"/>
  <c r="G46" i="22" s="1"/>
  <c r="G47" i="22"/>
  <c r="E48" i="22"/>
  <c r="G48" i="22" s="1"/>
  <c r="E49" i="22"/>
  <c r="G49" i="22" s="1"/>
  <c r="E50" i="22"/>
  <c r="G50" i="22" s="1"/>
  <c r="E51" i="22"/>
  <c r="G51" i="22" s="1"/>
  <c r="E52" i="22"/>
  <c r="G52" i="22" s="1"/>
  <c r="E53" i="22"/>
  <c r="G53" i="22" s="1"/>
  <c r="J41" i="23"/>
  <c r="D41" i="23"/>
  <c r="J39" i="23"/>
  <c r="D39" i="23"/>
  <c r="O42" i="2" l="1"/>
  <c r="O44" i="2" l="1"/>
  <c r="D38" i="23" l="1"/>
  <c r="D40" i="23"/>
  <c r="D42" i="23"/>
  <c r="D43" i="23"/>
  <c r="D44" i="23"/>
  <c r="D45" i="23"/>
  <c r="D46" i="23"/>
  <c r="D47" i="23"/>
  <c r="D37" i="23"/>
  <c r="D8" i="23"/>
  <c r="D21" i="23"/>
  <c r="D20" i="23"/>
  <c r="J43" i="23"/>
  <c r="J42" i="23"/>
  <c r="J40" i="23"/>
  <c r="J38" i="23"/>
  <c r="J37" i="23"/>
  <c r="O5" i="2"/>
  <c r="O23" i="2" l="1"/>
  <c r="B22" i="23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14" i="22"/>
  <c r="O16" i="22"/>
  <c r="O17" i="22"/>
  <c r="O18" i="22"/>
  <c r="C1" i="22" l="1"/>
  <c r="B8" i="23" l="1"/>
  <c r="O40" i="2"/>
  <c r="O41" i="2"/>
  <c r="O43" i="2"/>
  <c r="O45" i="2"/>
  <c r="O46" i="2"/>
  <c r="O47" i="2"/>
  <c r="O49" i="2"/>
  <c r="O51" i="2"/>
  <c r="O52" i="2"/>
  <c r="O4" i="2"/>
  <c r="O6" i="2"/>
  <c r="O7" i="2"/>
  <c r="O8" i="2"/>
  <c r="O9" i="2"/>
  <c r="O10" i="2"/>
  <c r="O11" i="2"/>
  <c r="O12" i="2"/>
  <c r="O13" i="2"/>
  <c r="O14" i="2"/>
  <c r="O15" i="2"/>
  <c r="O16" i="2"/>
  <c r="O17" i="2"/>
  <c r="O19" i="2"/>
  <c r="O20" i="2"/>
  <c r="O21" i="2"/>
  <c r="O22" i="2"/>
  <c r="O24" i="2"/>
  <c r="O26" i="2"/>
  <c r="O27" i="2"/>
  <c r="O28" i="2"/>
  <c r="O29" i="2"/>
  <c r="O30" i="2"/>
  <c r="O3" i="2"/>
  <c r="E39" i="22"/>
  <c r="J44" i="23" l="1"/>
  <c r="B21" i="23"/>
  <c r="B15" i="23"/>
  <c r="B36" i="23" l="1"/>
  <c r="E55" i="23"/>
  <c r="B20" i="23" l="1"/>
  <c r="X48" i="1" l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B4" i="23"/>
  <c r="B5" i="23"/>
  <c r="B6" i="23"/>
  <c r="B7" i="23"/>
  <c r="B9" i="23"/>
  <c r="B10" i="23"/>
  <c r="B11" i="23"/>
  <c r="B12" i="23"/>
  <c r="B13" i="23"/>
  <c r="B14" i="23"/>
  <c r="B16" i="23"/>
  <c r="B17" i="23"/>
  <c r="B18" i="23"/>
  <c r="B19" i="23"/>
  <c r="B23" i="23"/>
  <c r="B24" i="23"/>
  <c r="B25" i="23"/>
  <c r="B26" i="23"/>
  <c r="B27" i="23"/>
  <c r="B28" i="23"/>
  <c r="B29" i="23"/>
  <c r="B45" i="23"/>
  <c r="B46" i="23"/>
  <c r="B47" i="23"/>
  <c r="B3" i="23"/>
  <c r="T3" i="2"/>
  <c r="E14" i="22" l="1"/>
  <c r="J5" i="22"/>
  <c r="E47" i="2" l="1"/>
  <c r="C49" i="2"/>
  <c r="D49" i="2"/>
  <c r="E49" i="2"/>
  <c r="D30" i="22" l="1"/>
  <c r="D29" i="22"/>
  <c r="B5" i="1"/>
  <c r="W5" i="1" s="1"/>
  <c r="B6" i="1"/>
  <c r="W6" i="1" s="1"/>
  <c r="B7" i="1"/>
  <c r="W7" i="1" s="1"/>
  <c r="B8" i="1"/>
  <c r="W8" i="1" s="1"/>
  <c r="B9" i="1"/>
  <c r="W9" i="1" s="1"/>
  <c r="B10" i="1"/>
  <c r="W10" i="1" s="1"/>
  <c r="B11" i="1"/>
  <c r="W11" i="1" s="1"/>
  <c r="B12" i="1"/>
  <c r="W12" i="1" s="1"/>
  <c r="B13" i="1"/>
  <c r="B14" i="1"/>
  <c r="W14" i="1" s="1"/>
  <c r="B15" i="1"/>
  <c r="W15" i="1" s="1"/>
  <c r="B16" i="1"/>
  <c r="W16" i="1" s="1"/>
  <c r="B17" i="1"/>
  <c r="W17" i="1" s="1"/>
  <c r="B18" i="1"/>
  <c r="W18" i="1" s="1"/>
  <c r="B19" i="1"/>
  <c r="W19" i="1" s="1"/>
  <c r="B20" i="1"/>
  <c r="W20" i="1" s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A48" i="18" s="1"/>
  <c r="B49" i="1"/>
  <c r="B50" i="1"/>
  <c r="A50" i="18" s="1"/>
  <c r="B51" i="1"/>
  <c r="A51" i="18" s="1"/>
  <c r="J51" i="18" s="1"/>
  <c r="B52" i="1"/>
  <c r="A52" i="18" s="1"/>
  <c r="B53" i="1"/>
  <c r="A53" i="18" s="1"/>
  <c r="K53" i="18" s="1"/>
  <c r="B54" i="1"/>
  <c r="B21" i="1"/>
  <c r="W21" i="1" s="1"/>
  <c r="B22" i="1"/>
  <c r="C55" i="1"/>
  <c r="C56" i="1"/>
  <c r="C57" i="1"/>
  <c r="C58" i="1"/>
  <c r="C59" i="1"/>
  <c r="C60" i="1"/>
  <c r="C61" i="1"/>
  <c r="C62" i="1"/>
  <c r="E15" i="22"/>
  <c r="E19" i="22"/>
  <c r="E23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D18" i="22"/>
  <c r="D20" i="22"/>
  <c r="D22" i="22"/>
  <c r="D25" i="22"/>
  <c r="D28" i="22"/>
  <c r="D31" i="22"/>
  <c r="D32" i="22"/>
  <c r="D33" i="22"/>
  <c r="D34" i="22"/>
  <c r="D38" i="22"/>
  <c r="G4" i="22"/>
  <c r="E30" i="2"/>
  <c r="E18" i="22" s="1"/>
  <c r="C17" i="2"/>
  <c r="G7" i="22"/>
  <c r="C10" i="22" s="1"/>
  <c r="A15" i="22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G3" i="22"/>
  <c r="AD1" i="19"/>
  <c r="G1" i="11"/>
  <c r="AE1" i="19"/>
  <c r="H1" i="11"/>
  <c r="C25" i="2"/>
  <c r="Z26" i="10"/>
  <c r="Z27" i="10"/>
  <c r="Z28" i="10"/>
  <c r="Z29" i="10"/>
  <c r="Z30" i="10"/>
  <c r="Z26" i="11"/>
  <c r="Z27" i="11"/>
  <c r="Z28" i="11"/>
  <c r="Z29" i="11"/>
  <c r="Z30" i="11"/>
  <c r="R1" i="21"/>
  <c r="Q1" i="21"/>
  <c r="C63" i="1"/>
  <c r="C64" i="1"/>
  <c r="C65" i="1"/>
  <c r="C66" i="1"/>
  <c r="C67" i="1"/>
  <c r="C68" i="1"/>
  <c r="Z26" i="7"/>
  <c r="Z27" i="7"/>
  <c r="Z28" i="7"/>
  <c r="Z29" i="7"/>
  <c r="Z30" i="7"/>
  <c r="D38" i="2"/>
  <c r="C38" i="2"/>
  <c r="D37" i="22" s="1"/>
  <c r="C10" i="2"/>
  <c r="J83" i="19"/>
  <c r="I83" i="19"/>
  <c r="H83" i="19"/>
  <c r="G83" i="19"/>
  <c r="F83" i="19"/>
  <c r="E83" i="19"/>
  <c r="J82" i="19"/>
  <c r="I82" i="19"/>
  <c r="H82" i="19"/>
  <c r="G82" i="19"/>
  <c r="F82" i="19"/>
  <c r="E82" i="19"/>
  <c r="I80" i="19"/>
  <c r="H80" i="19"/>
  <c r="G80" i="19"/>
  <c r="F80" i="19"/>
  <c r="E80" i="19"/>
  <c r="I79" i="19"/>
  <c r="H79" i="19"/>
  <c r="G79" i="19"/>
  <c r="F79" i="19"/>
  <c r="E79" i="19"/>
  <c r="G77" i="19"/>
  <c r="F77" i="19"/>
  <c r="E77" i="19"/>
  <c r="G76" i="19"/>
  <c r="F76" i="19"/>
  <c r="E76" i="19"/>
  <c r="J74" i="19"/>
  <c r="I74" i="19"/>
  <c r="H74" i="19"/>
  <c r="G74" i="19"/>
  <c r="F74" i="19"/>
  <c r="E74" i="19"/>
  <c r="J73" i="19"/>
  <c r="I73" i="19"/>
  <c r="H73" i="19"/>
  <c r="G73" i="19"/>
  <c r="F73" i="19"/>
  <c r="E73" i="19"/>
  <c r="G71" i="19"/>
  <c r="F71" i="19"/>
  <c r="E71" i="19"/>
  <c r="G70" i="19"/>
  <c r="F70" i="19"/>
  <c r="E70" i="19"/>
  <c r="H1" i="10"/>
  <c r="G1" i="10"/>
  <c r="H1" i="7"/>
  <c r="G1" i="7"/>
  <c r="H1" i="9"/>
  <c r="G1" i="9"/>
  <c r="Z31" i="6"/>
  <c r="Z32" i="6"/>
  <c r="Z33" i="6"/>
  <c r="Z34" i="6"/>
  <c r="Z35" i="6"/>
  <c r="Z36" i="6"/>
  <c r="Z37" i="6"/>
  <c r="Z38" i="6"/>
  <c r="Z39" i="6"/>
  <c r="Z40" i="6"/>
  <c r="Z31" i="9"/>
  <c r="Z32" i="9"/>
  <c r="Z33" i="9"/>
  <c r="Z34" i="9"/>
  <c r="Z35" i="9"/>
  <c r="Z36" i="9"/>
  <c r="Z37" i="9"/>
  <c r="Z38" i="9"/>
  <c r="Z39" i="9"/>
  <c r="Z40" i="9"/>
  <c r="I1" i="6"/>
  <c r="H1" i="6"/>
  <c r="R1" i="18"/>
  <c r="Q1" i="18"/>
  <c r="D92" i="1"/>
  <c r="D89" i="1"/>
  <c r="D90" i="1"/>
  <c r="D91" i="1"/>
  <c r="D88" i="1"/>
  <c r="D87" i="1"/>
  <c r="C29" i="2"/>
  <c r="D21" i="22" s="1"/>
  <c r="C39" i="2"/>
  <c r="E39" i="2" s="1"/>
  <c r="D39" i="2"/>
  <c r="A49" i="18"/>
  <c r="C4" i="2"/>
  <c r="C5" i="2"/>
  <c r="D26" i="22" s="1"/>
  <c r="C6" i="2"/>
  <c r="C8" i="2"/>
  <c r="C9" i="2"/>
  <c r="C12" i="2"/>
  <c r="C16" i="2"/>
  <c r="D14" i="22" s="1"/>
  <c r="C26" i="2"/>
  <c r="C27" i="2"/>
  <c r="C52" i="2"/>
  <c r="E52" i="2" s="1"/>
  <c r="D52" i="2"/>
  <c r="C51" i="2"/>
  <c r="E51" i="2" s="1"/>
  <c r="E16" i="22" s="1"/>
  <c r="D51" i="2"/>
  <c r="A55" i="1"/>
  <c r="A56" i="1"/>
  <c r="A57" i="1"/>
  <c r="A58" i="1"/>
  <c r="A59" i="1"/>
  <c r="A60" i="1"/>
  <c r="A61" i="1"/>
  <c r="A62" i="1"/>
  <c r="A53" i="1" l="1"/>
  <c r="B18" i="11"/>
  <c r="Z18" i="11" s="1"/>
  <c r="E20" i="22"/>
  <c r="G20" i="22" s="1"/>
  <c r="AC22" i="1"/>
  <c r="AG22" i="1"/>
  <c r="AF22" i="1"/>
  <c r="AD22" i="1"/>
  <c r="AH22" i="1"/>
  <c r="AA22" i="1"/>
  <c r="AE22" i="1"/>
  <c r="AB22" i="1"/>
  <c r="W22" i="1"/>
  <c r="A44" i="18"/>
  <c r="M44" i="18" s="1"/>
  <c r="E44" i="1"/>
  <c r="AC44" i="1"/>
  <c r="AG44" i="1"/>
  <c r="AA44" i="1"/>
  <c r="C44" i="1"/>
  <c r="Z44" i="1" s="1"/>
  <c r="AD44" i="1"/>
  <c r="AH44" i="1"/>
  <c r="AE44" i="1"/>
  <c r="AF44" i="1"/>
  <c r="W44" i="1"/>
  <c r="AB44" i="1"/>
  <c r="X44" i="1"/>
  <c r="A32" i="18"/>
  <c r="M32" i="18" s="1"/>
  <c r="AH32" i="18" s="1"/>
  <c r="E32" i="1"/>
  <c r="AC32" i="1"/>
  <c r="AG32" i="1"/>
  <c r="C32" i="1"/>
  <c r="Z32" i="1" s="1"/>
  <c r="AA32" i="1"/>
  <c r="AF32" i="1"/>
  <c r="AD32" i="1"/>
  <c r="AH32" i="1"/>
  <c r="AE32" i="1"/>
  <c r="AB32" i="1"/>
  <c r="W32" i="1"/>
  <c r="X32" i="1"/>
  <c r="A24" i="18"/>
  <c r="M24" i="18" s="1"/>
  <c r="AH24" i="18" s="1"/>
  <c r="AC24" i="1"/>
  <c r="AG24" i="1"/>
  <c r="AA24" i="1"/>
  <c r="AF24" i="1"/>
  <c r="AD24" i="1"/>
  <c r="AH24" i="1"/>
  <c r="AE24" i="1"/>
  <c r="AB24" i="1"/>
  <c r="W24" i="1"/>
  <c r="E43" i="1"/>
  <c r="C43" i="1"/>
  <c r="Z43" i="1" s="1"/>
  <c r="AC43" i="1"/>
  <c r="AG43" i="1"/>
  <c r="AA43" i="1"/>
  <c r="W43" i="1"/>
  <c r="AD43" i="1"/>
  <c r="AH43" i="1"/>
  <c r="AE43" i="1"/>
  <c r="AB43" i="1"/>
  <c r="AF43" i="1"/>
  <c r="X43" i="1"/>
  <c r="A27" i="18"/>
  <c r="M27" i="18" s="1"/>
  <c r="AH27" i="18" s="1"/>
  <c r="AC27" i="1"/>
  <c r="AG27" i="1"/>
  <c r="AA27" i="1"/>
  <c r="AF27" i="1"/>
  <c r="AD27" i="1"/>
  <c r="AH27" i="1"/>
  <c r="AE27" i="1"/>
  <c r="E27" i="1"/>
  <c r="AB27" i="1"/>
  <c r="W27" i="1"/>
  <c r="A23" i="18"/>
  <c r="M23" i="18" s="1"/>
  <c r="AH23" i="18" s="1"/>
  <c r="AC23" i="1"/>
  <c r="AG23" i="1"/>
  <c r="AA23" i="1"/>
  <c r="AF23" i="1"/>
  <c r="AD23" i="1"/>
  <c r="AH23" i="1"/>
  <c r="AE23" i="1"/>
  <c r="AB23" i="1"/>
  <c r="W23" i="1"/>
  <c r="A46" i="18"/>
  <c r="M46" i="18" s="1"/>
  <c r="AB46" i="1"/>
  <c r="AF46" i="1"/>
  <c r="AD46" i="1"/>
  <c r="C46" i="1"/>
  <c r="Z46" i="1" s="1"/>
  <c r="AC46" i="1"/>
  <c r="AG46" i="1"/>
  <c r="W46" i="1"/>
  <c r="AH46" i="1"/>
  <c r="E46" i="1"/>
  <c r="AE46" i="1"/>
  <c r="AA46" i="1"/>
  <c r="X46" i="1"/>
  <c r="A42" i="18"/>
  <c r="M42" i="18" s="1"/>
  <c r="AC42" i="1"/>
  <c r="AG42" i="1"/>
  <c r="AA42" i="1"/>
  <c r="AF42" i="1"/>
  <c r="E42" i="1"/>
  <c r="AD42" i="1"/>
  <c r="AH42" i="1"/>
  <c r="W42" i="1"/>
  <c r="AE42" i="1"/>
  <c r="C42" i="1"/>
  <c r="Z42" i="1" s="1"/>
  <c r="AB42" i="1"/>
  <c r="X42" i="1"/>
  <c r="A34" i="18"/>
  <c r="M34" i="18" s="1"/>
  <c r="AH34" i="18" s="1"/>
  <c r="C34" i="1"/>
  <c r="Z34" i="1" s="1"/>
  <c r="AC34" i="1"/>
  <c r="AG34" i="1"/>
  <c r="AA34" i="1"/>
  <c r="AF34" i="1"/>
  <c r="AD34" i="1"/>
  <c r="AH34" i="1"/>
  <c r="E34" i="1"/>
  <c r="AE34" i="1"/>
  <c r="AB34" i="1"/>
  <c r="W34" i="1"/>
  <c r="X34" i="1"/>
  <c r="A30" i="18"/>
  <c r="M30" i="18" s="1"/>
  <c r="AH30" i="18" s="1"/>
  <c r="C30" i="1"/>
  <c r="Z30" i="1" s="1"/>
  <c r="AC30" i="1"/>
  <c r="AG30" i="1"/>
  <c r="E30" i="1"/>
  <c r="AA30" i="1"/>
  <c r="AF30" i="1"/>
  <c r="AD30" i="1"/>
  <c r="AH30" i="1"/>
  <c r="AE30" i="1"/>
  <c r="AB30" i="1"/>
  <c r="W30" i="1"/>
  <c r="X30" i="1"/>
  <c r="A28" i="18"/>
  <c r="M28" i="18" s="1"/>
  <c r="AH28" i="18" s="1"/>
  <c r="E28" i="1"/>
  <c r="AC28" i="1"/>
  <c r="AG28" i="1"/>
  <c r="AA28" i="1"/>
  <c r="AF28" i="1"/>
  <c r="AD28" i="1"/>
  <c r="AH28" i="1"/>
  <c r="C28" i="1"/>
  <c r="Z28" i="1" s="1"/>
  <c r="AE28" i="1"/>
  <c r="AB28" i="1"/>
  <c r="W28" i="1"/>
  <c r="A39" i="18"/>
  <c r="M39" i="18" s="1"/>
  <c r="AH39" i="18" s="1"/>
  <c r="AC39" i="1"/>
  <c r="AG39" i="1"/>
  <c r="AA39" i="1"/>
  <c r="E39" i="1"/>
  <c r="AF39" i="1"/>
  <c r="C39" i="1"/>
  <c r="Z39" i="1" s="1"/>
  <c r="AD39" i="1"/>
  <c r="AH39" i="1"/>
  <c r="AE39" i="1"/>
  <c r="AB39" i="1"/>
  <c r="W39" i="1"/>
  <c r="X39" i="1"/>
  <c r="A31" i="21"/>
  <c r="M31" i="21" s="1"/>
  <c r="AH31" i="21" s="1"/>
  <c r="AC31" i="1"/>
  <c r="AG31" i="1"/>
  <c r="AA31" i="1"/>
  <c r="E31" i="1"/>
  <c r="AF31" i="1"/>
  <c r="C31" i="1"/>
  <c r="Z31" i="1" s="1"/>
  <c r="AD31" i="1"/>
  <c r="AH31" i="1"/>
  <c r="AE31" i="1"/>
  <c r="AB31" i="1"/>
  <c r="W31" i="1"/>
  <c r="X31" i="1"/>
  <c r="A45" i="18"/>
  <c r="M45" i="18" s="1"/>
  <c r="AB45" i="1"/>
  <c r="AF45" i="1"/>
  <c r="W45" i="1"/>
  <c r="E45" i="1"/>
  <c r="C45" i="1"/>
  <c r="Z45" i="1" s="1"/>
  <c r="AD45" i="1"/>
  <c r="AC45" i="1"/>
  <c r="AG45" i="1"/>
  <c r="AH45" i="1"/>
  <c r="AA45" i="1"/>
  <c r="AE45" i="1"/>
  <c r="X45" i="1"/>
  <c r="A41" i="18"/>
  <c r="M41" i="18" s="1"/>
  <c r="E41" i="1"/>
  <c r="AC41" i="1"/>
  <c r="AG41" i="1"/>
  <c r="W41" i="1"/>
  <c r="AA41" i="1"/>
  <c r="AF41" i="1"/>
  <c r="AD41" i="1"/>
  <c r="AH41" i="1"/>
  <c r="C41" i="1"/>
  <c r="Z41" i="1" s="1"/>
  <c r="AE41" i="1"/>
  <c r="AB41" i="1"/>
  <c r="X41" i="1"/>
  <c r="A33" i="18"/>
  <c r="M33" i="18" s="1"/>
  <c r="AH33" i="18" s="1"/>
  <c r="AC33" i="1"/>
  <c r="AG33" i="1"/>
  <c r="AA33" i="1"/>
  <c r="AF33" i="1"/>
  <c r="E33" i="1"/>
  <c r="AD33" i="1"/>
  <c r="AH33" i="1"/>
  <c r="AE33" i="1"/>
  <c r="C33" i="1"/>
  <c r="Z33" i="1" s="1"/>
  <c r="AB33" i="1"/>
  <c r="W33" i="1"/>
  <c r="X33" i="1"/>
  <c r="A29" i="18"/>
  <c r="M29" i="18" s="1"/>
  <c r="AH29" i="18" s="1"/>
  <c r="AC29" i="1"/>
  <c r="AG29" i="1"/>
  <c r="AA29" i="1"/>
  <c r="C29" i="1"/>
  <c r="Z29" i="1" s="1"/>
  <c r="AF29" i="1"/>
  <c r="E29" i="1"/>
  <c r="AD29" i="1"/>
  <c r="AH29" i="1"/>
  <c r="AE29" i="1"/>
  <c r="AB29" i="1"/>
  <c r="W29" i="1"/>
  <c r="A40" i="18"/>
  <c r="M40" i="18" s="1"/>
  <c r="AH40" i="18" s="1"/>
  <c r="AC40" i="1"/>
  <c r="AG40" i="1"/>
  <c r="C40" i="1"/>
  <c r="Z40" i="1" s="1"/>
  <c r="AD40" i="1"/>
  <c r="AH40" i="1"/>
  <c r="AB40" i="1"/>
  <c r="AF40" i="1"/>
  <c r="AA40" i="1"/>
  <c r="AE40" i="1"/>
  <c r="W40" i="1"/>
  <c r="E40" i="1"/>
  <c r="X40" i="1"/>
  <c r="A36" i="18"/>
  <c r="M36" i="18" s="1"/>
  <c r="AH36" i="18" s="1"/>
  <c r="AD36" i="1"/>
  <c r="AH36" i="1"/>
  <c r="C36" i="1"/>
  <c r="Z36" i="1" s="1"/>
  <c r="AA36" i="1"/>
  <c r="AE36" i="1"/>
  <c r="AC36" i="1"/>
  <c r="AB36" i="1"/>
  <c r="AF36" i="1"/>
  <c r="E36" i="1"/>
  <c r="AG36" i="1"/>
  <c r="W36" i="1"/>
  <c r="X36" i="1"/>
  <c r="A47" i="21"/>
  <c r="M47" i="21" s="1"/>
  <c r="C47" i="1"/>
  <c r="Z47" i="1" s="1"/>
  <c r="AA47" i="1"/>
  <c r="AE47" i="1"/>
  <c r="AB47" i="1"/>
  <c r="AF47" i="1"/>
  <c r="W47" i="1"/>
  <c r="E47" i="1"/>
  <c r="AC47" i="1"/>
  <c r="AG47" i="1"/>
  <c r="AD47" i="1"/>
  <c r="AH47" i="1"/>
  <c r="X47" i="1"/>
  <c r="C35" i="1"/>
  <c r="Z35" i="1" s="1"/>
  <c r="AD35" i="1"/>
  <c r="AH35" i="1"/>
  <c r="AA35" i="1"/>
  <c r="AE35" i="1"/>
  <c r="AC35" i="1"/>
  <c r="E35" i="1"/>
  <c r="AB35" i="1"/>
  <c r="AF35" i="1"/>
  <c r="AG35" i="1"/>
  <c r="W35" i="1"/>
  <c r="X35" i="1"/>
  <c r="A38" i="18"/>
  <c r="M38" i="18" s="1"/>
  <c r="AH38" i="18" s="1"/>
  <c r="AD38" i="1"/>
  <c r="AH38" i="1"/>
  <c r="W38" i="1"/>
  <c r="E38" i="1"/>
  <c r="AA38" i="1"/>
  <c r="AE38" i="1"/>
  <c r="C38" i="1"/>
  <c r="Z38" i="1" s="1"/>
  <c r="AC38" i="1"/>
  <c r="AB38" i="1"/>
  <c r="AF38" i="1"/>
  <c r="AG38" i="1"/>
  <c r="X38" i="1"/>
  <c r="A26" i="18"/>
  <c r="M26" i="18" s="1"/>
  <c r="AH26" i="18" s="1"/>
  <c r="AC26" i="1"/>
  <c r="AG26" i="1"/>
  <c r="E26" i="1"/>
  <c r="AD26" i="1"/>
  <c r="AH26" i="1"/>
  <c r="AB26" i="1"/>
  <c r="AA26" i="1"/>
  <c r="AE26" i="1"/>
  <c r="AF26" i="1"/>
  <c r="W26" i="1"/>
  <c r="A37" i="18"/>
  <c r="M37" i="18" s="1"/>
  <c r="AH37" i="18" s="1"/>
  <c r="E37" i="1"/>
  <c r="AD37" i="1"/>
  <c r="AH37" i="1"/>
  <c r="AA37" i="1"/>
  <c r="AE37" i="1"/>
  <c r="AC37" i="1"/>
  <c r="C37" i="1"/>
  <c r="Z37" i="1" s="1"/>
  <c r="AB37" i="1"/>
  <c r="AF37" i="1"/>
  <c r="AG37" i="1"/>
  <c r="W37" i="1"/>
  <c r="X37" i="1"/>
  <c r="W3" i="7"/>
  <c r="W27" i="7" s="1"/>
  <c r="AC25" i="1"/>
  <c r="AG25" i="1"/>
  <c r="AD25" i="1"/>
  <c r="AH25" i="1"/>
  <c r="AA25" i="1"/>
  <c r="AE25" i="1"/>
  <c r="AB25" i="1"/>
  <c r="AF25" i="1"/>
  <c r="W25" i="1"/>
  <c r="X25" i="1"/>
  <c r="A25" i="18"/>
  <c r="M25" i="18" s="1"/>
  <c r="AH25" i="18" s="1"/>
  <c r="B24" i="7"/>
  <c r="Z24" i="7" s="1"/>
  <c r="C19" i="1"/>
  <c r="Z19" i="1" s="1"/>
  <c r="F3" i="7"/>
  <c r="F27" i="7" s="1"/>
  <c r="C20" i="1"/>
  <c r="Z20" i="1" s="1"/>
  <c r="B25" i="7"/>
  <c r="Z25" i="7" s="1"/>
  <c r="C17" i="1"/>
  <c r="Z17" i="1" s="1"/>
  <c r="B23" i="7"/>
  <c r="Z23" i="7" s="1"/>
  <c r="C14" i="1"/>
  <c r="Z14" i="1" s="1"/>
  <c r="B4" i="7"/>
  <c r="Z4" i="7" s="1"/>
  <c r="K9" i="22"/>
  <c r="K3" i="10"/>
  <c r="K26" i="10" s="1"/>
  <c r="W13" i="1"/>
  <c r="K10" i="22" s="1"/>
  <c r="T3" i="6"/>
  <c r="T32" i="6" s="1"/>
  <c r="X22" i="1"/>
  <c r="E17" i="22"/>
  <c r="G17" i="22" s="1"/>
  <c r="A47" i="18"/>
  <c r="A43" i="18"/>
  <c r="M43" i="18" s="1"/>
  <c r="A35" i="18"/>
  <c r="A31" i="18"/>
  <c r="M31" i="18" s="1"/>
  <c r="AH31" i="18" s="1"/>
  <c r="D17" i="22"/>
  <c r="AA10" i="1"/>
  <c r="AC10" i="1"/>
  <c r="AE10" i="1"/>
  <c r="AG10" i="1"/>
  <c r="AB10" i="1"/>
  <c r="AD10" i="1"/>
  <c r="AF10" i="1"/>
  <c r="AH10" i="1"/>
  <c r="AB13" i="1"/>
  <c r="AD13" i="1"/>
  <c r="AF13" i="1"/>
  <c r="AH13" i="1"/>
  <c r="AA13" i="1"/>
  <c r="AC13" i="1"/>
  <c r="AE13" i="1"/>
  <c r="AG13" i="1"/>
  <c r="B52" i="18"/>
  <c r="S52" i="18"/>
  <c r="K50" i="18"/>
  <c r="S50" i="18"/>
  <c r="D35" i="22"/>
  <c r="D27" i="22"/>
  <c r="G38" i="22"/>
  <c r="C18" i="1"/>
  <c r="Z18" i="1" s="1"/>
  <c r="AA20" i="1"/>
  <c r="AC20" i="1"/>
  <c r="AE20" i="1"/>
  <c r="AG20" i="1"/>
  <c r="AB20" i="1"/>
  <c r="AD20" i="1"/>
  <c r="AF20" i="1"/>
  <c r="AH20" i="1"/>
  <c r="AA18" i="1"/>
  <c r="AC18" i="1"/>
  <c r="AE18" i="1"/>
  <c r="AG18" i="1"/>
  <c r="AB18" i="1"/>
  <c r="AD18" i="1"/>
  <c r="AF18" i="1"/>
  <c r="AH18" i="1"/>
  <c r="AA16" i="1"/>
  <c r="AC16" i="1"/>
  <c r="AE16" i="1"/>
  <c r="AG16" i="1"/>
  <c r="AB16" i="1"/>
  <c r="AD16" i="1"/>
  <c r="AF16" i="1"/>
  <c r="AH16" i="1"/>
  <c r="AA14" i="1"/>
  <c r="AC14" i="1"/>
  <c r="AE14" i="1"/>
  <c r="AG14" i="1"/>
  <c r="AB14" i="1"/>
  <c r="AD14" i="1"/>
  <c r="AF14" i="1"/>
  <c r="AH14" i="1"/>
  <c r="AA12" i="1"/>
  <c r="AC12" i="1"/>
  <c r="AE12" i="1"/>
  <c r="AG12" i="1"/>
  <c r="AB12" i="1"/>
  <c r="AD12" i="1"/>
  <c r="AF12" i="1"/>
  <c r="AH12" i="1"/>
  <c r="AA8" i="1"/>
  <c r="AC8" i="1"/>
  <c r="AE8" i="1"/>
  <c r="AG8" i="1"/>
  <c r="AB8" i="1"/>
  <c r="AD8" i="1"/>
  <c r="AF8" i="1"/>
  <c r="AH8" i="1"/>
  <c r="AH6" i="1"/>
  <c r="AF6" i="1"/>
  <c r="AD6" i="1"/>
  <c r="AB6" i="1"/>
  <c r="AG6" i="1"/>
  <c r="AE6" i="1"/>
  <c r="AC6" i="1"/>
  <c r="AA6" i="1"/>
  <c r="D24" i="22"/>
  <c r="G14" i="22"/>
  <c r="G39" i="22"/>
  <c r="D36" i="22"/>
  <c r="D23" i="22"/>
  <c r="G37" i="22"/>
  <c r="AA21" i="1"/>
  <c r="AC21" i="1"/>
  <c r="AE21" i="1"/>
  <c r="AG21" i="1"/>
  <c r="AB21" i="1"/>
  <c r="AD21" i="1"/>
  <c r="AF21" i="1"/>
  <c r="AH21" i="1"/>
  <c r="X29" i="1"/>
  <c r="AA19" i="1"/>
  <c r="AC19" i="1"/>
  <c r="AE19" i="1"/>
  <c r="AG19" i="1"/>
  <c r="AB19" i="1"/>
  <c r="AD19" i="1"/>
  <c r="AF19" i="1"/>
  <c r="AH19" i="1"/>
  <c r="AA17" i="1"/>
  <c r="AC17" i="1"/>
  <c r="AE17" i="1"/>
  <c r="AG17" i="1"/>
  <c r="AB17" i="1"/>
  <c r="AD17" i="1"/>
  <c r="AF17" i="1"/>
  <c r="AH17" i="1"/>
  <c r="AA15" i="1"/>
  <c r="AC15" i="1"/>
  <c r="AE15" i="1"/>
  <c r="AG15" i="1"/>
  <c r="AB15" i="1"/>
  <c r="AD15" i="1"/>
  <c r="AF15" i="1"/>
  <c r="AH15" i="1"/>
  <c r="AA11" i="1"/>
  <c r="AC11" i="1"/>
  <c r="AE11" i="1"/>
  <c r="AG11" i="1"/>
  <c r="AB11" i="1"/>
  <c r="AD11" i="1"/>
  <c r="AF11" i="1"/>
  <c r="AH11" i="1"/>
  <c r="AA9" i="1"/>
  <c r="AC9" i="1"/>
  <c r="AE9" i="1"/>
  <c r="AG9" i="1"/>
  <c r="AB9" i="1"/>
  <c r="AD9" i="1"/>
  <c r="AF9" i="1"/>
  <c r="AH9" i="1"/>
  <c r="AA7" i="1"/>
  <c r="AC7" i="1"/>
  <c r="AE7" i="1"/>
  <c r="AG7" i="1"/>
  <c r="AB7" i="1"/>
  <c r="AD7" i="1"/>
  <c r="AF7" i="1"/>
  <c r="AH7" i="1"/>
  <c r="AH5" i="1"/>
  <c r="AF5" i="1"/>
  <c r="AD5" i="1"/>
  <c r="AB5" i="1"/>
  <c r="X5" i="1"/>
  <c r="AG5" i="1"/>
  <c r="AE5" i="1"/>
  <c r="AC5" i="1"/>
  <c r="AA5" i="1"/>
  <c r="Q52" i="18"/>
  <c r="I50" i="18"/>
  <c r="X28" i="1"/>
  <c r="X26" i="1"/>
  <c r="C26" i="1"/>
  <c r="Z26" i="1" s="1"/>
  <c r="X24" i="1"/>
  <c r="B26" i="9"/>
  <c r="Z26" i="9" s="1"/>
  <c r="X27" i="1"/>
  <c r="C27" i="1"/>
  <c r="B22" i="10"/>
  <c r="Z22" i="10" s="1"/>
  <c r="X23" i="1"/>
  <c r="D16" i="22"/>
  <c r="D19" i="22"/>
  <c r="D15" i="22"/>
  <c r="N52" i="18"/>
  <c r="R50" i="18"/>
  <c r="O50" i="18"/>
  <c r="Y3" i="11"/>
  <c r="Y26" i="11" s="1"/>
  <c r="H51" i="18"/>
  <c r="F51" i="18"/>
  <c r="B16" i="10"/>
  <c r="Z16" i="10" s="1"/>
  <c r="T52" i="18"/>
  <c r="V50" i="18"/>
  <c r="C50" i="18"/>
  <c r="G52" i="18"/>
  <c r="I53" i="18"/>
  <c r="F53" i="18"/>
  <c r="D51" i="18"/>
  <c r="G51" i="18"/>
  <c r="G53" i="18"/>
  <c r="B26" i="6"/>
  <c r="Z26" i="6" s="1"/>
  <c r="B4" i="10"/>
  <c r="Z4" i="10" s="1"/>
  <c r="B24" i="11"/>
  <c r="Z24" i="11" s="1"/>
  <c r="A13" i="18"/>
  <c r="M13" i="18" s="1"/>
  <c r="AH13" i="18" s="1"/>
  <c r="E3" i="11"/>
  <c r="E28" i="11" s="1"/>
  <c r="A15" i="21"/>
  <c r="M15" i="21" s="1"/>
  <c r="AH15" i="21" s="1"/>
  <c r="B8" i="11"/>
  <c r="Z8" i="11" s="1"/>
  <c r="E29" i="2"/>
  <c r="E21" i="22" s="1"/>
  <c r="G21" i="22" s="1"/>
  <c r="E25" i="22"/>
  <c r="G25" i="22" s="1"/>
  <c r="E22" i="22"/>
  <c r="G22" i="22" s="1"/>
  <c r="X21" i="1"/>
  <c r="X18" i="1"/>
  <c r="X6" i="1"/>
  <c r="X14" i="1"/>
  <c r="X15" i="1"/>
  <c r="X16" i="1"/>
  <c r="X17" i="1"/>
  <c r="X19" i="1"/>
  <c r="X20" i="1"/>
  <c r="B12" i="6"/>
  <c r="Z12" i="6" s="1"/>
  <c r="X11" i="1"/>
  <c r="X10" i="1"/>
  <c r="X8" i="1"/>
  <c r="C13" i="1"/>
  <c r="Z13" i="1" s="1"/>
  <c r="X13" i="1"/>
  <c r="C12" i="1"/>
  <c r="Z12" i="1" s="1"/>
  <c r="X12" i="1"/>
  <c r="E9" i="1"/>
  <c r="X9" i="1"/>
  <c r="E3" i="6"/>
  <c r="E35" i="6" s="1"/>
  <c r="X7" i="1"/>
  <c r="C5" i="1"/>
  <c r="E25" i="1"/>
  <c r="C25" i="1"/>
  <c r="Z25" i="1" s="1"/>
  <c r="C23" i="1"/>
  <c r="Z23" i="1" s="1"/>
  <c r="E23" i="1"/>
  <c r="C22" i="1"/>
  <c r="Z22" i="1" s="1"/>
  <c r="E22" i="1"/>
  <c r="B20" i="11"/>
  <c r="Z20" i="11" s="1"/>
  <c r="C21" i="1"/>
  <c r="Z21" i="1" s="1"/>
  <c r="E21" i="1"/>
  <c r="G36" i="22"/>
  <c r="G34" i="22"/>
  <c r="G35" i="22"/>
  <c r="G33" i="22"/>
  <c r="U52" i="18"/>
  <c r="R52" i="18"/>
  <c r="O52" i="18"/>
  <c r="U50" i="18"/>
  <c r="P50" i="18"/>
  <c r="Q50" i="18"/>
  <c r="V52" i="18"/>
  <c r="P52" i="18"/>
  <c r="T50" i="18"/>
  <c r="N50" i="18"/>
  <c r="D50" i="18"/>
  <c r="D52" i="18"/>
  <c r="J52" i="18"/>
  <c r="M53" i="18"/>
  <c r="B53" i="18"/>
  <c r="H53" i="18"/>
  <c r="J53" i="18"/>
  <c r="C53" i="18"/>
  <c r="E53" i="18"/>
  <c r="D53" i="18"/>
  <c r="R53" i="18"/>
  <c r="Q53" i="18"/>
  <c r="V53" i="18"/>
  <c r="T53" i="18"/>
  <c r="O53" i="18"/>
  <c r="P53" i="18"/>
  <c r="N53" i="18"/>
  <c r="U53" i="18"/>
  <c r="S53" i="18"/>
  <c r="B51" i="18"/>
  <c r="M51" i="18"/>
  <c r="K51" i="18"/>
  <c r="I51" i="18"/>
  <c r="C51" i="18"/>
  <c r="E51" i="18"/>
  <c r="O51" i="18"/>
  <c r="Q51" i="18"/>
  <c r="R51" i="18"/>
  <c r="S51" i="18"/>
  <c r="U51" i="18"/>
  <c r="P51" i="18"/>
  <c r="N51" i="18"/>
  <c r="T51" i="18"/>
  <c r="V51" i="18"/>
  <c r="M49" i="18"/>
  <c r="B21" i="7"/>
  <c r="Z21" i="7" s="1"/>
  <c r="A22" i="21"/>
  <c r="M22" i="21" s="1"/>
  <c r="AH22" i="21" s="1"/>
  <c r="T3" i="11"/>
  <c r="T3" i="10"/>
  <c r="T28" i="10" s="1"/>
  <c r="T3" i="9"/>
  <c r="T3" i="7"/>
  <c r="T26" i="7" s="1"/>
  <c r="A22" i="18"/>
  <c r="M22" i="18" s="1"/>
  <c r="AH22" i="18" s="1"/>
  <c r="B21" i="10"/>
  <c r="B21" i="6"/>
  <c r="E53" i="1"/>
  <c r="C53" i="1"/>
  <c r="Z53" i="1" s="1"/>
  <c r="A53" i="21"/>
  <c r="E51" i="1"/>
  <c r="A51" i="21"/>
  <c r="A51" i="1"/>
  <c r="A49" i="21"/>
  <c r="A45" i="21"/>
  <c r="A43" i="21"/>
  <c r="A41" i="21"/>
  <c r="A37" i="21"/>
  <c r="A35" i="21"/>
  <c r="A33" i="21"/>
  <c r="B30" i="9"/>
  <c r="B28" i="9"/>
  <c r="A29" i="21"/>
  <c r="B28" i="6"/>
  <c r="Y3" i="9"/>
  <c r="Y3" i="7"/>
  <c r="A27" i="21"/>
  <c r="Y3" i="10"/>
  <c r="Y3" i="6"/>
  <c r="B24" i="9"/>
  <c r="A25" i="21"/>
  <c r="W3" i="11"/>
  <c r="W29" i="11" s="1"/>
  <c r="W3" i="10"/>
  <c r="B24" i="10"/>
  <c r="Z24" i="10" s="1"/>
  <c r="B24" i="6"/>
  <c r="B22" i="7"/>
  <c r="Z22" i="7" s="1"/>
  <c r="U3" i="9"/>
  <c r="U3" i="7"/>
  <c r="U3" i="11"/>
  <c r="U28" i="11" s="1"/>
  <c r="B22" i="11"/>
  <c r="U3" i="6"/>
  <c r="E19" i="1"/>
  <c r="Q3" i="9"/>
  <c r="B18" i="6"/>
  <c r="B18" i="9"/>
  <c r="Q3" i="6"/>
  <c r="A19" i="21"/>
  <c r="M19" i="21" s="1"/>
  <c r="AH19" i="21" s="1"/>
  <c r="Q3" i="10"/>
  <c r="Q28" i="10" s="1"/>
  <c r="B18" i="10"/>
  <c r="Z18" i="10" s="1"/>
  <c r="E17" i="1"/>
  <c r="O3" i="6"/>
  <c r="A17" i="21"/>
  <c r="M17" i="21" s="1"/>
  <c r="AH17" i="21" s="1"/>
  <c r="O3" i="11"/>
  <c r="O28" i="11" s="1"/>
  <c r="O3" i="10"/>
  <c r="O3" i="9"/>
  <c r="O35" i="9" s="1"/>
  <c r="B16" i="6"/>
  <c r="A17" i="18"/>
  <c r="M17" i="18" s="1"/>
  <c r="AH17" i="18" s="1"/>
  <c r="B16" i="11"/>
  <c r="E15" i="1"/>
  <c r="B14" i="6"/>
  <c r="M3" i="6"/>
  <c r="M40" i="6" s="1"/>
  <c r="M3" i="11"/>
  <c r="M28" i="11" s="1"/>
  <c r="B14" i="10"/>
  <c r="E13" i="1"/>
  <c r="K3" i="6"/>
  <c r="A13" i="21"/>
  <c r="M13" i="21" s="1"/>
  <c r="AH13" i="21" s="1"/>
  <c r="K3" i="11"/>
  <c r="K30" i="11" s="1"/>
  <c r="E11" i="1"/>
  <c r="A11" i="21"/>
  <c r="M11" i="21" s="1"/>
  <c r="AH11" i="21" s="1"/>
  <c r="A11" i="18"/>
  <c r="M11" i="18" s="1"/>
  <c r="AH11" i="18" s="1"/>
  <c r="B10" i="11"/>
  <c r="Z10" i="11" s="1"/>
  <c r="E7" i="1"/>
  <c r="E3" i="9"/>
  <c r="B6" i="6"/>
  <c r="C7" i="1"/>
  <c r="Z7" i="1" s="1"/>
  <c r="A7" i="21"/>
  <c r="M7" i="21" s="1"/>
  <c r="AH7" i="21" s="1"/>
  <c r="E3" i="10"/>
  <c r="B6" i="11"/>
  <c r="Z6" i="11" s="1"/>
  <c r="B6" i="10"/>
  <c r="Z6" i="10" s="1"/>
  <c r="E5" i="1"/>
  <c r="B4" i="9"/>
  <c r="C3" i="6"/>
  <c r="C3" i="11"/>
  <c r="C28" i="1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C3" i="10"/>
  <c r="C28" i="10" s="1"/>
  <c r="A5" i="18"/>
  <c r="M5" i="18" s="1"/>
  <c r="AH5" i="18" s="1"/>
  <c r="B30" i="6"/>
  <c r="B22" i="6"/>
  <c r="W3" i="6"/>
  <c r="B12" i="10"/>
  <c r="Z12" i="10" s="1"/>
  <c r="B20" i="10"/>
  <c r="Z20" i="10" s="1"/>
  <c r="B4" i="11"/>
  <c r="B12" i="11"/>
  <c r="B21" i="11"/>
  <c r="A19" i="18"/>
  <c r="M19" i="18" s="1"/>
  <c r="AH19" i="18" s="1"/>
  <c r="A7" i="18"/>
  <c r="M7" i="18" s="1"/>
  <c r="AH7" i="18" s="1"/>
  <c r="W3" i="9"/>
  <c r="W32" i="9" s="1"/>
  <c r="U3" i="10"/>
  <c r="U30" i="10" s="1"/>
  <c r="Q3" i="11"/>
  <c r="Q26" i="11" s="1"/>
  <c r="A5" i="21"/>
  <c r="M5" i="21" s="1"/>
  <c r="AH5" i="21" s="1"/>
  <c r="A23" i="21"/>
  <c r="M23" i="21" s="1"/>
  <c r="AH23" i="21" s="1"/>
  <c r="A39" i="21"/>
  <c r="C51" i="1"/>
  <c r="Z51" i="1" s="1"/>
  <c r="B4" i="6"/>
  <c r="C3" i="9"/>
  <c r="C33" i="9" s="1"/>
  <c r="G31" i="22"/>
  <c r="M52" i="18"/>
  <c r="K52" i="18"/>
  <c r="I52" i="18"/>
  <c r="E52" i="18"/>
  <c r="F52" i="18"/>
  <c r="M50" i="18"/>
  <c r="B50" i="18"/>
  <c r="M48" i="18"/>
  <c r="E54" i="1"/>
  <c r="C54" i="1"/>
  <c r="Z54" i="1" s="1"/>
  <c r="A54" i="1"/>
  <c r="E52" i="1"/>
  <c r="C52" i="1"/>
  <c r="Z52" i="1" s="1"/>
  <c r="A52" i="21"/>
  <c r="A52" i="1"/>
  <c r="E50" i="1"/>
  <c r="A50" i="1"/>
  <c r="C50" i="1"/>
  <c r="Z50" i="1" s="1"/>
  <c r="A50" i="21"/>
  <c r="A48" i="21"/>
  <c r="A46" i="21"/>
  <c r="A44" i="21"/>
  <c r="A42" i="21"/>
  <c r="A40" i="21"/>
  <c r="A38" i="21"/>
  <c r="A36" i="21"/>
  <c r="A34" i="21"/>
  <c r="A32" i="21"/>
  <c r="B29" i="9"/>
  <c r="B29" i="6"/>
  <c r="A30" i="21"/>
  <c r="B27" i="9"/>
  <c r="B27" i="6"/>
  <c r="A28" i="21"/>
  <c r="B25" i="9"/>
  <c r="X3" i="11"/>
  <c r="X3" i="9"/>
  <c r="X3" i="10"/>
  <c r="B25" i="11"/>
  <c r="B25" i="10"/>
  <c r="B25" i="6"/>
  <c r="A26" i="21"/>
  <c r="X3" i="7"/>
  <c r="X3" i="6"/>
  <c r="B23" i="9"/>
  <c r="V3" i="11"/>
  <c r="V3" i="9"/>
  <c r="V3" i="10"/>
  <c r="B23" i="11"/>
  <c r="B23" i="10"/>
  <c r="B23" i="6"/>
  <c r="A24" i="21"/>
  <c r="M24" i="21" s="1"/>
  <c r="AH24" i="21" s="1"/>
  <c r="V3" i="7"/>
  <c r="V3" i="6"/>
  <c r="E20" i="1"/>
  <c r="R3" i="9"/>
  <c r="R3" i="10"/>
  <c r="R27" i="10" s="1"/>
  <c r="B19" i="9"/>
  <c r="A20" i="21"/>
  <c r="M20" i="21" s="1"/>
  <c r="AH20" i="21" s="1"/>
  <c r="R3" i="11"/>
  <c r="R29" i="11" s="1"/>
  <c r="A20" i="18"/>
  <c r="M20" i="18" s="1"/>
  <c r="AH20" i="18" s="1"/>
  <c r="B19" i="11"/>
  <c r="B19" i="10"/>
  <c r="Z19" i="10" s="1"/>
  <c r="B19" i="6"/>
  <c r="E18" i="1"/>
  <c r="P3" i="11"/>
  <c r="E16" i="1"/>
  <c r="B15" i="6"/>
  <c r="N3" i="6"/>
  <c r="N3" i="10"/>
  <c r="N28" i="10" s="1"/>
  <c r="A16" i="18"/>
  <c r="M16" i="18" s="1"/>
  <c r="AH16" i="18" s="1"/>
  <c r="E14" i="1"/>
  <c r="B13" i="6"/>
  <c r="L3" i="11"/>
  <c r="L30" i="11" s="1"/>
  <c r="B13" i="9"/>
  <c r="B13" i="11"/>
  <c r="E12" i="1"/>
  <c r="B11" i="9"/>
  <c r="J3" i="9"/>
  <c r="J33" i="9" s="1"/>
  <c r="B11" i="6"/>
  <c r="A12" i="21"/>
  <c r="M12" i="21" s="1"/>
  <c r="AH12" i="21" s="1"/>
  <c r="J3" i="11"/>
  <c r="B11" i="11"/>
  <c r="B11" i="10"/>
  <c r="J3" i="6"/>
  <c r="J3" i="10"/>
  <c r="A12" i="18"/>
  <c r="M12" i="18" s="1"/>
  <c r="AH12" i="18" s="1"/>
  <c r="E10" i="1"/>
  <c r="H3" i="6"/>
  <c r="A10" i="21"/>
  <c r="M10" i="21" s="1"/>
  <c r="AH10" i="21" s="1"/>
  <c r="H3" i="10"/>
  <c r="H29" i="10" s="1"/>
  <c r="B9" i="6"/>
  <c r="C10" i="1"/>
  <c r="Z10" i="1" s="1"/>
  <c r="H3" i="11"/>
  <c r="B9" i="11"/>
  <c r="B9" i="9"/>
  <c r="H3" i="9"/>
  <c r="A10" i="18"/>
  <c r="M10" i="18" s="1"/>
  <c r="AH10" i="18" s="1"/>
  <c r="B9" i="10"/>
  <c r="E8" i="1"/>
  <c r="C8" i="1"/>
  <c r="Z8" i="1" s="1"/>
  <c r="F3" i="11"/>
  <c r="F27" i="11" s="1"/>
  <c r="A8" i="21"/>
  <c r="M8" i="21" s="1"/>
  <c r="AH8" i="21" s="1"/>
  <c r="F3" i="10"/>
  <c r="F26" i="10" s="1"/>
  <c r="A8" i="18"/>
  <c r="M8" i="18" s="1"/>
  <c r="AH8" i="18" s="1"/>
  <c r="B7" i="11"/>
  <c r="B7" i="10"/>
  <c r="E6" i="1"/>
  <c r="B5" i="7"/>
  <c r="D3" i="7"/>
  <c r="D39" i="7" s="1"/>
  <c r="B5" i="9"/>
  <c r="B5" i="6"/>
  <c r="C6" i="1"/>
  <c r="Z6" i="1" s="1"/>
  <c r="D3" i="11"/>
  <c r="D3" i="6"/>
  <c r="A6" i="21"/>
  <c r="M6" i="21" s="1"/>
  <c r="AH6" i="21" s="1"/>
  <c r="D3" i="10"/>
  <c r="D30" i="10" s="1"/>
  <c r="A6" i="18"/>
  <c r="M6" i="18" s="1"/>
  <c r="AH6" i="18" s="1"/>
  <c r="B5" i="11"/>
  <c r="B5" i="10"/>
  <c r="D3" i="9"/>
  <c r="F50" i="18"/>
  <c r="G50" i="18"/>
  <c r="E50" i="18"/>
  <c r="H50" i="18"/>
  <c r="J50" i="18"/>
  <c r="C52" i="18"/>
  <c r="H52" i="18"/>
  <c r="B15" i="10"/>
  <c r="B15" i="11"/>
  <c r="B20" i="7"/>
  <c r="Z20" i="7" s="1"/>
  <c r="B20" i="6"/>
  <c r="A21" i="21"/>
  <c r="M21" i="21" s="1"/>
  <c r="AH21" i="21" s="1"/>
  <c r="G5" i="22"/>
  <c r="B22" i="9"/>
  <c r="B21" i="9"/>
  <c r="S3" i="6"/>
  <c r="A21" i="18"/>
  <c r="M21" i="18" s="1"/>
  <c r="AH21" i="18" s="1"/>
  <c r="S3" i="10"/>
  <c r="S3" i="11"/>
  <c r="S28" i="11" s="1"/>
  <c r="B20" i="9"/>
  <c r="S3" i="9"/>
  <c r="B13" i="7"/>
  <c r="K3" i="9"/>
  <c r="B7" i="9"/>
  <c r="B6" i="9"/>
  <c r="B12" i="9"/>
  <c r="B16" i="7"/>
  <c r="G3" i="11"/>
  <c r="G28" i="11" s="1"/>
  <c r="C9" i="1"/>
  <c r="Z9" i="1" s="1"/>
  <c r="F3" i="6"/>
  <c r="F36" i="6" s="1"/>
  <c r="B7" i="6"/>
  <c r="F3" i="9"/>
  <c r="C3" i="7"/>
  <c r="B18" i="7"/>
  <c r="B8" i="10"/>
  <c r="A9" i="18"/>
  <c r="M9" i="18" s="1"/>
  <c r="AH9" i="18" s="1"/>
  <c r="G3" i="10"/>
  <c r="G28" i="10" s="1"/>
  <c r="A9" i="21"/>
  <c r="M9" i="21" s="1"/>
  <c r="AH9" i="21" s="1"/>
  <c r="G3" i="9"/>
  <c r="G36" i="9" s="1"/>
  <c r="B8" i="9"/>
  <c r="S3" i="7"/>
  <c r="E24" i="1"/>
  <c r="C24" i="1"/>
  <c r="Z24" i="1" s="1"/>
  <c r="G32" i="22"/>
  <c r="N3" i="11"/>
  <c r="N29" i="11" s="1"/>
  <c r="A16" i="21"/>
  <c r="M16" i="21" s="1"/>
  <c r="AH16" i="21" s="1"/>
  <c r="C16" i="1"/>
  <c r="Z16" i="1" s="1"/>
  <c r="N3" i="9"/>
  <c r="N37" i="9" s="1"/>
  <c r="B15" i="9"/>
  <c r="B16" i="9"/>
  <c r="B19" i="7"/>
  <c r="G3" i="6"/>
  <c r="B8" i="6"/>
  <c r="B8" i="7"/>
  <c r="B14" i="11"/>
  <c r="A15" i="18"/>
  <c r="M15" i="18" s="1"/>
  <c r="AH15" i="18" s="1"/>
  <c r="M3" i="10"/>
  <c r="C15" i="1"/>
  <c r="Z15" i="1" s="1"/>
  <c r="M3" i="9"/>
  <c r="B14" i="9"/>
  <c r="B17" i="7"/>
  <c r="L3" i="7"/>
  <c r="L39" i="7" s="1"/>
  <c r="E24" i="22"/>
  <c r="G24" i="22" s="1"/>
  <c r="R3" i="6"/>
  <c r="B15" i="7"/>
  <c r="B12" i="7"/>
  <c r="K3" i="7"/>
  <c r="I3" i="7"/>
  <c r="I37" i="7" s="1"/>
  <c r="B9" i="7"/>
  <c r="H3" i="7"/>
  <c r="G3" i="7"/>
  <c r="B7" i="7"/>
  <c r="B14" i="7"/>
  <c r="B13" i="10"/>
  <c r="A14" i="18"/>
  <c r="M14" i="18" s="1"/>
  <c r="AH14" i="18" s="1"/>
  <c r="L3" i="10"/>
  <c r="L30" i="10" s="1"/>
  <c r="A14" i="21"/>
  <c r="M14" i="21" s="1"/>
  <c r="AH14" i="21" s="1"/>
  <c r="L3" i="6"/>
  <c r="L3" i="9"/>
  <c r="L37" i="9" s="1"/>
  <c r="B10" i="10"/>
  <c r="I3" i="10"/>
  <c r="I3" i="11"/>
  <c r="C11" i="1"/>
  <c r="I3" i="6"/>
  <c r="B10" i="6"/>
  <c r="I3" i="9"/>
  <c r="B10" i="9"/>
  <c r="B6" i="7"/>
  <c r="R3" i="7"/>
  <c r="Q3" i="7"/>
  <c r="B17" i="10"/>
  <c r="B17" i="11"/>
  <c r="A18" i="18"/>
  <c r="M18" i="18" s="1"/>
  <c r="AH18" i="18" s="1"/>
  <c r="P3" i="10"/>
  <c r="A18" i="21"/>
  <c r="M18" i="21" s="1"/>
  <c r="AH18" i="21" s="1"/>
  <c r="B17" i="6"/>
  <c r="P3" i="6"/>
  <c r="B17" i="9"/>
  <c r="P3" i="9"/>
  <c r="P3" i="7"/>
  <c r="O3" i="7"/>
  <c r="N3" i="7"/>
  <c r="M3" i="7"/>
  <c r="B11" i="7"/>
  <c r="J3" i="7"/>
  <c r="B10" i="7"/>
  <c r="E3" i="7"/>
  <c r="G8" i="22"/>
  <c r="G30" i="22"/>
  <c r="G26" i="22"/>
  <c r="G23" i="22"/>
  <c r="G18" i="22"/>
  <c r="G27" i="22"/>
  <c r="G16" i="22"/>
  <c r="G15" i="22"/>
  <c r="G19" i="22"/>
  <c r="G29" i="22"/>
  <c r="G28" i="22"/>
  <c r="Z5" i="1" l="1"/>
  <c r="D15" i="1"/>
  <c r="F15" i="1"/>
  <c r="F18" i="1" s="1"/>
  <c r="F30" i="7"/>
  <c r="F34" i="7"/>
  <c r="F34" i="1"/>
  <c r="F33" i="1"/>
  <c r="W29" i="7"/>
  <c r="F32" i="1"/>
  <c r="F35" i="1"/>
  <c r="W26" i="7"/>
  <c r="F37" i="7"/>
  <c r="W28" i="7"/>
  <c r="W30" i="7"/>
  <c r="Z27" i="1"/>
  <c r="M35" i="6"/>
  <c r="F36" i="7"/>
  <c r="F28" i="7"/>
  <c r="F31" i="7"/>
  <c r="F38" i="7"/>
  <c r="F35" i="7"/>
  <c r="F29" i="7"/>
  <c r="F26" i="7"/>
  <c r="F32" i="7"/>
  <c r="F33" i="7"/>
  <c r="F39" i="7"/>
  <c r="Q27" i="11"/>
  <c r="C34" i="9"/>
  <c r="Y29" i="11"/>
  <c r="M27" i="11"/>
  <c r="Y27" i="11"/>
  <c r="M32" i="6"/>
  <c r="W38" i="9"/>
  <c r="M47" i="18"/>
  <c r="T36" i="6"/>
  <c r="Q26" i="10"/>
  <c r="T35" i="6"/>
  <c r="Y30" i="11"/>
  <c r="O34" i="9"/>
  <c r="T31" i="6"/>
  <c r="K29" i="11"/>
  <c r="T40" i="6"/>
  <c r="M35" i="18"/>
  <c r="AH35" i="18" s="1"/>
  <c r="T34" i="6"/>
  <c r="K29" i="10"/>
  <c r="K27" i="10"/>
  <c r="T39" i="6"/>
  <c r="K28" i="10"/>
  <c r="T33" i="6"/>
  <c r="K30" i="10"/>
  <c r="T38" i="6"/>
  <c r="E26" i="11"/>
  <c r="T37" i="6"/>
  <c r="Q30" i="11"/>
  <c r="K11" i="22"/>
  <c r="E32" i="6"/>
  <c r="E39" i="6"/>
  <c r="E37" i="6"/>
  <c r="F36" i="1"/>
  <c r="K5" i="22"/>
  <c r="F37" i="1"/>
  <c r="F38" i="1"/>
  <c r="F39" i="1"/>
  <c r="W27" i="11"/>
  <c r="K4" i="22"/>
  <c r="Q28" i="11"/>
  <c r="M39" i="6"/>
  <c r="D37" i="7"/>
  <c r="W34" i="9"/>
  <c r="K26" i="11"/>
  <c r="E34" i="6"/>
  <c r="E40" i="6"/>
  <c r="Y28" i="11"/>
  <c r="G10" i="22"/>
  <c r="C11" i="22"/>
  <c r="K6" i="22" s="1"/>
  <c r="E32" i="9"/>
  <c r="E27" i="11"/>
  <c r="E31" i="6"/>
  <c r="E33" i="6"/>
  <c r="E36" i="6"/>
  <c r="H28" i="10"/>
  <c r="W40" i="9"/>
  <c r="W36" i="9"/>
  <c r="N33" i="9"/>
  <c r="E30" i="11"/>
  <c r="E29" i="11"/>
  <c r="S30" i="11"/>
  <c r="L27" i="11"/>
  <c r="F27" i="10"/>
  <c r="N27" i="10"/>
  <c r="N29" i="10"/>
  <c r="D27" i="7"/>
  <c r="W28" i="11"/>
  <c r="D28" i="10"/>
  <c r="J32" i="9"/>
  <c r="N36" i="9"/>
  <c r="G32" i="9"/>
  <c r="E38" i="6"/>
  <c r="H30" i="10"/>
  <c r="R30" i="10"/>
  <c r="M30" i="11"/>
  <c r="L40" i="6"/>
  <c r="F32" i="6"/>
  <c r="L32" i="7"/>
  <c r="D33" i="7"/>
  <c r="D28" i="7"/>
  <c r="L29" i="10"/>
  <c r="L27" i="7"/>
  <c r="G38" i="9"/>
  <c r="F30" i="10"/>
  <c r="F29" i="10"/>
  <c r="L32" i="6"/>
  <c r="P28" i="11"/>
  <c r="Q29" i="10"/>
  <c r="R30" i="11"/>
  <c r="F30" i="11"/>
  <c r="M29" i="11"/>
  <c r="D31" i="7"/>
  <c r="D35" i="7"/>
  <c r="M26" i="11"/>
  <c r="W30" i="11"/>
  <c r="W26" i="11"/>
  <c r="C30" i="10"/>
  <c r="L37" i="6"/>
  <c r="L36" i="6"/>
  <c r="Q29" i="11"/>
  <c r="C31" i="9"/>
  <c r="C35" i="9"/>
  <c r="C36" i="9"/>
  <c r="C37" i="9"/>
  <c r="C38" i="9"/>
  <c r="C39" i="9"/>
  <c r="C40" i="9"/>
  <c r="M39" i="21"/>
  <c r="AH39" i="21" s="1"/>
  <c r="U26" i="10"/>
  <c r="U27" i="10"/>
  <c r="U29" i="10"/>
  <c r="Z21" i="11"/>
  <c r="Z4" i="11"/>
  <c r="Z22" i="6"/>
  <c r="C27" i="11"/>
  <c r="C29" i="11"/>
  <c r="Z4" i="9"/>
  <c r="E27" i="10"/>
  <c r="E29" i="10"/>
  <c r="E26" i="10"/>
  <c r="E30" i="10"/>
  <c r="E28" i="10"/>
  <c r="E31" i="9"/>
  <c r="E33" i="9"/>
  <c r="E35" i="9"/>
  <c r="E37" i="9"/>
  <c r="E40" i="9"/>
  <c r="E34" i="9"/>
  <c r="E38" i="9"/>
  <c r="E39" i="9"/>
  <c r="E36" i="9"/>
  <c r="K31" i="6"/>
  <c r="K35" i="6"/>
  <c r="K39" i="6"/>
  <c r="K34" i="6"/>
  <c r="K38" i="6"/>
  <c r="K37" i="6"/>
  <c r="K36" i="6"/>
  <c r="K32" i="6"/>
  <c r="K33" i="6"/>
  <c r="K40" i="6"/>
  <c r="Z14" i="10"/>
  <c r="M34" i="6"/>
  <c r="M38" i="6"/>
  <c r="O31" i="9"/>
  <c r="O38" i="9"/>
  <c r="O39" i="9"/>
  <c r="O40" i="9"/>
  <c r="O26" i="11"/>
  <c r="O29" i="11"/>
  <c r="O27" i="11"/>
  <c r="O32" i="6"/>
  <c r="O34" i="6"/>
  <c r="O36" i="6"/>
  <c r="O38" i="6"/>
  <c r="O40" i="6"/>
  <c r="O33" i="6"/>
  <c r="O37" i="6"/>
  <c r="O31" i="6"/>
  <c r="O39" i="6"/>
  <c r="O35" i="6"/>
  <c r="Z18" i="9"/>
  <c r="Q31" i="9"/>
  <c r="Q32" i="9"/>
  <c r="Q35" i="9"/>
  <c r="Q36" i="9"/>
  <c r="Q40" i="9"/>
  <c r="Q33" i="9"/>
  <c r="Q34" i="9"/>
  <c r="Q37" i="9"/>
  <c r="Q38" i="9"/>
  <c r="Q39" i="9"/>
  <c r="U31" i="6"/>
  <c r="U35" i="6"/>
  <c r="U39" i="6"/>
  <c r="U34" i="6"/>
  <c r="U38" i="6"/>
  <c r="U33" i="6"/>
  <c r="U32" i="6"/>
  <c r="U40" i="6"/>
  <c r="U37" i="6"/>
  <c r="U36" i="6"/>
  <c r="U29" i="11"/>
  <c r="U30" i="11"/>
  <c r="U27" i="11"/>
  <c r="U31" i="9"/>
  <c r="U32" i="9"/>
  <c r="U35" i="9"/>
  <c r="U36" i="9"/>
  <c r="U40" i="9"/>
  <c r="U37" i="9"/>
  <c r="U38" i="9"/>
  <c r="U39" i="9"/>
  <c r="U33" i="9"/>
  <c r="U34" i="9"/>
  <c r="W26" i="10"/>
  <c r="W28" i="10"/>
  <c r="W30" i="10"/>
  <c r="W29" i="10"/>
  <c r="W27" i="10"/>
  <c r="Z24" i="9"/>
  <c r="Y26" i="10"/>
  <c r="Y28" i="10"/>
  <c r="Y30" i="10"/>
  <c r="Y29" i="10"/>
  <c r="Y27" i="10"/>
  <c r="Y27" i="7"/>
  <c r="Y28" i="7"/>
  <c r="Y29" i="7"/>
  <c r="Y26" i="7"/>
  <c r="Y30" i="7"/>
  <c r="M29" i="21"/>
  <c r="AH29" i="21" s="1"/>
  <c r="Z30" i="9"/>
  <c r="M37" i="21"/>
  <c r="AH37" i="21" s="1"/>
  <c r="M43" i="21"/>
  <c r="M49" i="21"/>
  <c r="M51" i="21"/>
  <c r="B51" i="21"/>
  <c r="H51" i="21"/>
  <c r="G51" i="21"/>
  <c r="E51" i="21"/>
  <c r="C51" i="21"/>
  <c r="D51" i="21"/>
  <c r="J51" i="21"/>
  <c r="K51" i="21"/>
  <c r="O51" i="21"/>
  <c r="R51" i="21"/>
  <c r="U51" i="21"/>
  <c r="N51" i="21"/>
  <c r="V51" i="21"/>
  <c r="F51" i="21"/>
  <c r="I51" i="21"/>
  <c r="Q51" i="21"/>
  <c r="S51" i="21"/>
  <c r="P51" i="21"/>
  <c r="T51" i="21"/>
  <c r="M53" i="21"/>
  <c r="D53" i="21"/>
  <c r="E53" i="21"/>
  <c r="C53" i="21"/>
  <c r="K53" i="21"/>
  <c r="I53" i="21"/>
  <c r="B53" i="21"/>
  <c r="J53" i="21"/>
  <c r="F53" i="21"/>
  <c r="Q53" i="21"/>
  <c r="T53" i="21"/>
  <c r="P53" i="21"/>
  <c r="U53" i="21"/>
  <c r="H53" i="21"/>
  <c r="G53" i="21"/>
  <c r="R53" i="21"/>
  <c r="V53" i="21"/>
  <c r="O53" i="21"/>
  <c r="N53" i="21"/>
  <c r="S53" i="21"/>
  <c r="Z21" i="10"/>
  <c r="T27" i="7"/>
  <c r="T29" i="7"/>
  <c r="T28" i="7"/>
  <c r="T26" i="10"/>
  <c r="T30" i="10"/>
  <c r="L28" i="7"/>
  <c r="L36" i="7"/>
  <c r="L35" i="7"/>
  <c r="R28" i="10"/>
  <c r="D29" i="10"/>
  <c r="F35" i="6"/>
  <c r="M33" i="6"/>
  <c r="M37" i="6"/>
  <c r="G35" i="9"/>
  <c r="R29" i="10"/>
  <c r="O32" i="9"/>
  <c r="O37" i="9"/>
  <c r="O30" i="11"/>
  <c r="O33" i="9"/>
  <c r="C32" i="9"/>
  <c r="O36" i="9"/>
  <c r="T29" i="10"/>
  <c r="U26" i="11"/>
  <c r="C30" i="11"/>
  <c r="C26" i="11"/>
  <c r="T27" i="10"/>
  <c r="M36" i="6"/>
  <c r="M31" i="6"/>
  <c r="T30" i="7"/>
  <c r="K28" i="11"/>
  <c r="K27" i="11"/>
  <c r="Z24" i="6"/>
  <c r="Z28" i="6"/>
  <c r="U28" i="10"/>
  <c r="Z4" i="6"/>
  <c r="W33" i="9"/>
  <c r="W37" i="9"/>
  <c r="W39" i="9"/>
  <c r="W35" i="9"/>
  <c r="W31" i="9"/>
  <c r="Z12" i="11"/>
  <c r="W32" i="6"/>
  <c r="W34" i="6"/>
  <c r="W36" i="6"/>
  <c r="W38" i="6"/>
  <c r="W40" i="6"/>
  <c r="W33" i="6"/>
  <c r="W37" i="6"/>
  <c r="W35" i="6"/>
  <c r="W31" i="6"/>
  <c r="W39" i="6"/>
  <c r="Z30" i="6"/>
  <c r="C26" i="10"/>
  <c r="C29" i="10"/>
  <c r="C27" i="10"/>
  <c r="C34" i="6"/>
  <c r="C38" i="6"/>
  <c r="C42" i="6"/>
  <c r="C33" i="6"/>
  <c r="C37" i="6"/>
  <c r="C41" i="6"/>
  <c r="C36" i="6"/>
  <c r="C31" i="6"/>
  <c r="C39" i="6"/>
  <c r="C40" i="6"/>
  <c r="C32" i="6"/>
  <c r="C35" i="6"/>
  <c r="Z6" i="6"/>
  <c r="Z14" i="6"/>
  <c r="Z16" i="11"/>
  <c r="Z16" i="6"/>
  <c r="O26" i="10"/>
  <c r="O28" i="10"/>
  <c r="O30" i="10"/>
  <c r="O29" i="10"/>
  <c r="O27" i="10"/>
  <c r="Q27" i="10"/>
  <c r="Q30" i="10"/>
  <c r="Q32" i="6"/>
  <c r="Q34" i="6"/>
  <c r="Q36" i="6"/>
  <c r="Q38" i="6"/>
  <c r="Q40" i="6"/>
  <c r="Q31" i="6"/>
  <c r="Q35" i="6"/>
  <c r="Q39" i="6"/>
  <c r="Q37" i="6"/>
  <c r="Q33" i="6"/>
  <c r="Z18" i="6"/>
  <c r="Z22" i="11"/>
  <c r="U27" i="7"/>
  <c r="U28" i="7"/>
  <c r="U26" i="7"/>
  <c r="U30" i="7"/>
  <c r="U29" i="7"/>
  <c r="M25" i="21"/>
  <c r="AH25" i="21" s="1"/>
  <c r="Y32" i="6"/>
  <c r="Y34" i="6"/>
  <c r="Y36" i="6"/>
  <c r="Y38" i="6"/>
  <c r="Y40" i="6"/>
  <c r="Y31" i="6"/>
  <c r="Y35" i="6"/>
  <c r="Y39" i="6"/>
  <c r="Y33" i="6"/>
  <c r="Y37" i="6"/>
  <c r="M27" i="21"/>
  <c r="AH27" i="21" s="1"/>
  <c r="Y31" i="9"/>
  <c r="Y34" i="9"/>
  <c r="Y35" i="9"/>
  <c r="Y38" i="9"/>
  <c r="Y32" i="9"/>
  <c r="Y33" i="9"/>
  <c r="Y40" i="9"/>
  <c r="Y36" i="9"/>
  <c r="Y37" i="9"/>
  <c r="Y39" i="9"/>
  <c r="Z28" i="9"/>
  <c r="M33" i="21"/>
  <c r="AH33" i="21" s="1"/>
  <c r="M35" i="21"/>
  <c r="AH35" i="21" s="1"/>
  <c r="M41" i="21"/>
  <c r="M45" i="21"/>
  <c r="Z21" i="6"/>
  <c r="T33" i="9"/>
  <c r="T34" i="9"/>
  <c r="T37" i="9"/>
  <c r="T38" i="9"/>
  <c r="T39" i="9"/>
  <c r="T31" i="9"/>
  <c r="T36" i="9"/>
  <c r="T32" i="9"/>
  <c r="T35" i="9"/>
  <c r="T40" i="9"/>
  <c r="T27" i="11"/>
  <c r="T29" i="11"/>
  <c r="T28" i="11"/>
  <c r="T26" i="11"/>
  <c r="T30" i="11"/>
  <c r="G30" i="10"/>
  <c r="G31" i="9"/>
  <c r="G34" i="9"/>
  <c r="Z20" i="6"/>
  <c r="Z15" i="11"/>
  <c r="Z15" i="10"/>
  <c r="Z5" i="10"/>
  <c r="D28" i="11"/>
  <c r="D30" i="11"/>
  <c r="D27" i="11"/>
  <c r="D26" i="11"/>
  <c r="D29" i="11"/>
  <c r="Z5" i="6"/>
  <c r="D26" i="7"/>
  <c r="D30" i="7"/>
  <c r="Z7" i="11"/>
  <c r="F26" i="11"/>
  <c r="F29" i="11"/>
  <c r="Z9" i="9"/>
  <c r="H28" i="11"/>
  <c r="H30" i="11"/>
  <c r="H29" i="11"/>
  <c r="H26" i="11"/>
  <c r="H27" i="11"/>
  <c r="Z9" i="6"/>
  <c r="J26" i="10"/>
  <c r="J30" i="10"/>
  <c r="J29" i="10"/>
  <c r="J28" i="10"/>
  <c r="J27" i="10"/>
  <c r="Z11" i="10"/>
  <c r="J29" i="11"/>
  <c r="J28" i="11"/>
  <c r="J27" i="11"/>
  <c r="J30" i="11"/>
  <c r="J26" i="11"/>
  <c r="Z11" i="6"/>
  <c r="Z11" i="9"/>
  <c r="Z13" i="11"/>
  <c r="L29" i="11"/>
  <c r="L26" i="11"/>
  <c r="N26" i="10"/>
  <c r="Z15" i="6"/>
  <c r="P26" i="11"/>
  <c r="P27" i="11"/>
  <c r="Z19" i="6"/>
  <c r="Z19" i="11"/>
  <c r="R26" i="11"/>
  <c r="R27" i="11"/>
  <c r="Z19" i="9"/>
  <c r="R32" i="9"/>
  <c r="R34" i="9"/>
  <c r="R36" i="9"/>
  <c r="R38" i="9"/>
  <c r="R40" i="9"/>
  <c r="R31" i="9"/>
  <c r="R33" i="9"/>
  <c r="R35" i="9"/>
  <c r="R37" i="9"/>
  <c r="R39" i="9"/>
  <c r="V31" i="6"/>
  <c r="V33" i="6"/>
  <c r="V35" i="6"/>
  <c r="V37" i="6"/>
  <c r="V39" i="6"/>
  <c r="V34" i="6"/>
  <c r="V38" i="6"/>
  <c r="V32" i="6"/>
  <c r="V40" i="6"/>
  <c r="V36" i="6"/>
  <c r="Z23" i="10"/>
  <c r="V26" i="10"/>
  <c r="V28" i="10"/>
  <c r="V30" i="10"/>
  <c r="V29" i="10"/>
  <c r="V27" i="10"/>
  <c r="V27" i="11"/>
  <c r="V29" i="11"/>
  <c r="V26" i="11"/>
  <c r="V30" i="11"/>
  <c r="V28" i="11"/>
  <c r="X31" i="6"/>
  <c r="X33" i="6"/>
  <c r="X35" i="6"/>
  <c r="X37" i="6"/>
  <c r="X39" i="6"/>
  <c r="X32" i="6"/>
  <c r="X36" i="6"/>
  <c r="X40" i="6"/>
  <c r="X38" i="6"/>
  <c r="X34" i="6"/>
  <c r="M26" i="21"/>
  <c r="AH26" i="21" s="1"/>
  <c r="Z25" i="10"/>
  <c r="X27" i="10"/>
  <c r="X29" i="10"/>
  <c r="X28" i="10"/>
  <c r="X26" i="10"/>
  <c r="X30" i="10"/>
  <c r="X26" i="11"/>
  <c r="X28" i="11"/>
  <c r="X30" i="11"/>
  <c r="X29" i="11"/>
  <c r="X27" i="11"/>
  <c r="Z25" i="9"/>
  <c r="Z27" i="6"/>
  <c r="Z27" i="9"/>
  <c r="Z29" i="6"/>
  <c r="Z29" i="9"/>
  <c r="M32" i="21"/>
  <c r="AH32" i="21" s="1"/>
  <c r="M36" i="21"/>
  <c r="AH36" i="21" s="1"/>
  <c r="M38" i="21"/>
  <c r="AH38" i="21" s="1"/>
  <c r="M40" i="21"/>
  <c r="AH40" i="21" s="1"/>
  <c r="M42" i="21"/>
  <c r="M44" i="21"/>
  <c r="M46" i="21"/>
  <c r="M48" i="21"/>
  <c r="M50" i="21"/>
  <c r="B50" i="21"/>
  <c r="F50" i="21"/>
  <c r="D50" i="21"/>
  <c r="G50" i="21"/>
  <c r="I50" i="21"/>
  <c r="N50" i="21"/>
  <c r="O50" i="21"/>
  <c r="T50" i="21"/>
  <c r="V50" i="21"/>
  <c r="Q50" i="21"/>
  <c r="R50" i="21"/>
  <c r="P50" i="21"/>
  <c r="S50" i="21"/>
  <c r="U50" i="21"/>
  <c r="J50" i="21"/>
  <c r="H50" i="21"/>
  <c r="C50" i="21"/>
  <c r="E50" i="21"/>
  <c r="K50" i="21"/>
  <c r="P30" i="11"/>
  <c r="R28" i="11"/>
  <c r="L29" i="7"/>
  <c r="L33" i="7"/>
  <c r="L37" i="7"/>
  <c r="L31" i="7"/>
  <c r="L28" i="11"/>
  <c r="F28" i="10"/>
  <c r="N30" i="10"/>
  <c r="F28" i="11"/>
  <c r="G30" i="11"/>
  <c r="G29" i="11"/>
  <c r="P29" i="11"/>
  <c r="D29" i="7"/>
  <c r="D32" i="7"/>
  <c r="D34" i="7"/>
  <c r="D36" i="7"/>
  <c r="D38" i="7"/>
  <c r="D31" i="9"/>
  <c r="D33" i="9"/>
  <c r="D35" i="9"/>
  <c r="D37" i="9"/>
  <c r="D34" i="9"/>
  <c r="D38" i="9"/>
  <c r="D40" i="9"/>
  <c r="D32" i="9"/>
  <c r="D36" i="9"/>
  <c r="D39" i="9"/>
  <c r="Z5" i="11"/>
  <c r="D27" i="10"/>
  <c r="D26" i="10"/>
  <c r="D31" i="6"/>
  <c r="D32" i="6"/>
  <c r="D36" i="6"/>
  <c r="D40" i="6"/>
  <c r="D37" i="6"/>
  <c r="D38" i="6"/>
  <c r="D39" i="6"/>
  <c r="D42" i="6"/>
  <c r="D35" i="6"/>
  <c r="D33" i="6"/>
  <c r="D34" i="6"/>
  <c r="D41" i="6"/>
  <c r="Z5" i="9"/>
  <c r="Z5" i="7"/>
  <c r="Z7" i="10"/>
  <c r="Z9" i="10"/>
  <c r="H31" i="9"/>
  <c r="H32" i="9"/>
  <c r="H33" i="9"/>
  <c r="H35" i="9"/>
  <c r="H37" i="9"/>
  <c r="H34" i="9"/>
  <c r="H38" i="9"/>
  <c r="H40" i="9"/>
  <c r="H36" i="9"/>
  <c r="H39" i="9"/>
  <c r="Z9" i="11"/>
  <c r="H27" i="10"/>
  <c r="H26" i="10"/>
  <c r="H32" i="6"/>
  <c r="H35" i="6"/>
  <c r="H37" i="6"/>
  <c r="H31" i="6"/>
  <c r="H36" i="6"/>
  <c r="H40" i="6"/>
  <c r="H39" i="6"/>
  <c r="H38" i="6"/>
  <c r="H33" i="6"/>
  <c r="H34" i="6"/>
  <c r="J33" i="6"/>
  <c r="J37" i="6"/>
  <c r="J34" i="6"/>
  <c r="J38" i="6"/>
  <c r="J35" i="6"/>
  <c r="J36" i="6"/>
  <c r="J32" i="6"/>
  <c r="J31" i="6"/>
  <c r="Z11" i="11"/>
  <c r="J31" i="9"/>
  <c r="J34" i="9"/>
  <c r="J36" i="9"/>
  <c r="J38" i="9"/>
  <c r="J37" i="9"/>
  <c r="J39" i="9"/>
  <c r="J35" i="9"/>
  <c r="J40" i="9"/>
  <c r="Z13" i="9"/>
  <c r="Z13" i="6"/>
  <c r="N31" i="6"/>
  <c r="N33" i="6"/>
  <c r="N35" i="6"/>
  <c r="N37" i="6"/>
  <c r="N39" i="6"/>
  <c r="N34" i="6"/>
  <c r="N38" i="6"/>
  <c r="N32" i="6"/>
  <c r="N40" i="6"/>
  <c r="N36" i="6"/>
  <c r="R26" i="10"/>
  <c r="V27" i="7"/>
  <c r="V28" i="7"/>
  <c r="V29" i="7"/>
  <c r="V26" i="7"/>
  <c r="V30" i="7"/>
  <c r="Z23" i="6"/>
  <c r="Z23" i="11"/>
  <c r="V31" i="9"/>
  <c r="V33" i="9"/>
  <c r="V35" i="9"/>
  <c r="V37" i="9"/>
  <c r="V39" i="9"/>
  <c r="V40" i="9"/>
  <c r="V32" i="9"/>
  <c r="V34" i="9"/>
  <c r="V36" i="9"/>
  <c r="V38" i="9"/>
  <c r="Z23" i="9"/>
  <c r="X26" i="7"/>
  <c r="X30" i="7"/>
  <c r="X27" i="7"/>
  <c r="X29" i="7"/>
  <c r="X28" i="7"/>
  <c r="Z25" i="6"/>
  <c r="Z25" i="11"/>
  <c r="X31" i="9"/>
  <c r="X33" i="9"/>
  <c r="X35" i="9"/>
  <c r="X37" i="9"/>
  <c r="X39" i="9"/>
  <c r="X32" i="9"/>
  <c r="X34" i="9"/>
  <c r="X36" i="9"/>
  <c r="X38" i="9"/>
  <c r="X40" i="9"/>
  <c r="M28" i="21"/>
  <c r="AH28" i="21" s="1"/>
  <c r="M30" i="21"/>
  <c r="AH30" i="21" s="1"/>
  <c r="M34" i="21"/>
  <c r="AH34" i="21" s="1"/>
  <c r="M52" i="21"/>
  <c r="F52" i="21"/>
  <c r="D52" i="21"/>
  <c r="E52" i="21"/>
  <c r="C52" i="21"/>
  <c r="G52" i="21"/>
  <c r="J52" i="21"/>
  <c r="I52" i="21"/>
  <c r="Q52" i="21"/>
  <c r="P52" i="21"/>
  <c r="T52" i="21"/>
  <c r="V52" i="21"/>
  <c r="O52" i="21"/>
  <c r="N52" i="21"/>
  <c r="R52" i="21"/>
  <c r="S52" i="21"/>
  <c r="U52" i="21"/>
  <c r="B52" i="21"/>
  <c r="H52" i="21"/>
  <c r="K52" i="21"/>
  <c r="Z22" i="9"/>
  <c r="Z21" i="9"/>
  <c r="Z20" i="9"/>
  <c r="S26" i="10"/>
  <c r="S28" i="10"/>
  <c r="S30" i="10"/>
  <c r="S27" i="10"/>
  <c r="S29" i="10"/>
  <c r="S32" i="6"/>
  <c r="S34" i="6"/>
  <c r="S36" i="6"/>
  <c r="S38" i="6"/>
  <c r="S40" i="6"/>
  <c r="S31" i="6"/>
  <c r="S33" i="6"/>
  <c r="S35" i="6"/>
  <c r="S37" i="6"/>
  <c r="S39" i="6"/>
  <c r="S31" i="9"/>
  <c r="S32" i="9"/>
  <c r="S33" i="9"/>
  <c r="S34" i="9"/>
  <c r="S35" i="9"/>
  <c r="S36" i="9"/>
  <c r="S37" i="9"/>
  <c r="S38" i="9"/>
  <c r="S39" i="9"/>
  <c r="S40" i="9"/>
  <c r="S26" i="11"/>
  <c r="S29" i="11"/>
  <c r="S27" i="11"/>
  <c r="Z13" i="7"/>
  <c r="K32" i="9"/>
  <c r="K33" i="9"/>
  <c r="K36" i="9"/>
  <c r="K39" i="9"/>
  <c r="K31" i="9"/>
  <c r="K34" i="9"/>
  <c r="K35" i="9"/>
  <c r="K37" i="9"/>
  <c r="K38" i="9"/>
  <c r="K40" i="9"/>
  <c r="I33" i="7"/>
  <c r="Z7" i="9"/>
  <c r="Z6" i="9"/>
  <c r="Z12" i="9"/>
  <c r="Z16" i="7"/>
  <c r="G26" i="11"/>
  <c r="G27" i="11"/>
  <c r="F33" i="9"/>
  <c r="F34" i="9"/>
  <c r="F38" i="9"/>
  <c r="F39" i="9"/>
  <c r="F40" i="9"/>
  <c r="F31" i="9"/>
  <c r="F32" i="9"/>
  <c r="F35" i="9"/>
  <c r="F36" i="9"/>
  <c r="F37" i="9"/>
  <c r="F31" i="6"/>
  <c r="F33" i="6"/>
  <c r="F34" i="6"/>
  <c r="F37" i="6"/>
  <c r="Z7" i="6"/>
  <c r="I29" i="7"/>
  <c r="C32" i="7"/>
  <c r="C34" i="7"/>
  <c r="C36" i="7"/>
  <c r="C38" i="7"/>
  <c r="C26" i="7"/>
  <c r="C27" i="7"/>
  <c r="C28" i="7"/>
  <c r="C29" i="7"/>
  <c r="C30" i="7"/>
  <c r="C31" i="7"/>
  <c r="C33" i="7"/>
  <c r="C35" i="7"/>
  <c r="C37" i="7"/>
  <c r="C39" i="7"/>
  <c r="Z18" i="7"/>
  <c r="Z8" i="9"/>
  <c r="G26" i="10"/>
  <c r="G27" i="10"/>
  <c r="G29" i="10"/>
  <c r="Z8" i="10"/>
  <c r="G39" i="9"/>
  <c r="G33" i="9"/>
  <c r="G37" i="9"/>
  <c r="G40" i="9"/>
  <c r="S26" i="7"/>
  <c r="S28" i="7"/>
  <c r="S30" i="7"/>
  <c r="S31" i="7"/>
  <c r="S32" i="7"/>
  <c r="S33" i="7"/>
  <c r="S34" i="7"/>
  <c r="S35" i="7"/>
  <c r="S36" i="7"/>
  <c r="S37" i="7"/>
  <c r="S38" i="7"/>
  <c r="S39" i="7"/>
  <c r="S27" i="7"/>
  <c r="S29" i="7"/>
  <c r="N32" i="9"/>
  <c r="N31" i="9"/>
  <c r="N34" i="9"/>
  <c r="N35" i="9"/>
  <c r="N39" i="9"/>
  <c r="N40" i="9"/>
  <c r="N38" i="9"/>
  <c r="Z15" i="9"/>
  <c r="N27" i="11"/>
  <c r="N28" i="11"/>
  <c r="N26" i="11"/>
  <c r="N30" i="11"/>
  <c r="Z16" i="9"/>
  <c r="Z19" i="7"/>
  <c r="Z8" i="7"/>
  <c r="G31" i="6"/>
  <c r="G35" i="6"/>
  <c r="G39" i="6"/>
  <c r="G34" i="6"/>
  <c r="G38" i="6"/>
  <c r="G33" i="6"/>
  <c r="G37" i="6"/>
  <c r="G32" i="6"/>
  <c r="G36" i="6"/>
  <c r="G40" i="6"/>
  <c r="Z8" i="6"/>
  <c r="Z14" i="9"/>
  <c r="M26" i="10"/>
  <c r="M28" i="10"/>
  <c r="M30" i="10"/>
  <c r="M27" i="10"/>
  <c r="M29" i="10"/>
  <c r="M31" i="9"/>
  <c r="M35" i="9"/>
  <c r="M39" i="9"/>
  <c r="M32" i="9"/>
  <c r="M33" i="9"/>
  <c r="M34" i="9"/>
  <c r="M36" i="9"/>
  <c r="M37" i="9"/>
  <c r="M38" i="9"/>
  <c r="M40" i="9"/>
  <c r="Z14" i="11"/>
  <c r="Z17" i="7"/>
  <c r="L35" i="9"/>
  <c r="L33" i="9"/>
  <c r="L30" i="7"/>
  <c r="L38" i="7"/>
  <c r="L26" i="7"/>
  <c r="L34" i="7"/>
  <c r="Z11" i="1"/>
  <c r="R31" i="6"/>
  <c r="R33" i="6"/>
  <c r="R35" i="6"/>
  <c r="R37" i="6"/>
  <c r="R39" i="6"/>
  <c r="R32" i="6"/>
  <c r="R34" i="6"/>
  <c r="R36" i="6"/>
  <c r="R38" i="6"/>
  <c r="R40" i="6"/>
  <c r="Z15" i="7"/>
  <c r="K26" i="7"/>
  <c r="K27" i="7"/>
  <c r="K28" i="7"/>
  <c r="K30" i="7"/>
  <c r="K31" i="7"/>
  <c r="K32" i="7"/>
  <c r="K34" i="7"/>
  <c r="K35" i="7"/>
  <c r="K36" i="7"/>
  <c r="K38" i="7"/>
  <c r="K39" i="7"/>
  <c r="K29" i="7"/>
  <c r="K33" i="7"/>
  <c r="K37" i="7"/>
  <c r="Z12" i="7"/>
  <c r="I26" i="7"/>
  <c r="I30" i="7"/>
  <c r="I34" i="7"/>
  <c r="I38" i="7"/>
  <c r="I28" i="7"/>
  <c r="I32" i="7"/>
  <c r="I36" i="7"/>
  <c r="I27" i="7"/>
  <c r="I31" i="7"/>
  <c r="I35" i="7"/>
  <c r="I39" i="7"/>
  <c r="H28" i="7"/>
  <c r="H32" i="7"/>
  <c r="H36" i="7"/>
  <c r="H26" i="7"/>
  <c r="H27" i="7"/>
  <c r="H29" i="7"/>
  <c r="H30" i="7"/>
  <c r="H31" i="7"/>
  <c r="H33" i="7"/>
  <c r="H34" i="7"/>
  <c r="H35" i="7"/>
  <c r="H37" i="7"/>
  <c r="H38" i="7"/>
  <c r="H39" i="7"/>
  <c r="Z9" i="7"/>
  <c r="G27" i="7"/>
  <c r="G28" i="7"/>
  <c r="G29" i="7"/>
  <c r="G31" i="7"/>
  <c r="G32" i="7"/>
  <c r="G33" i="7"/>
  <c r="G35" i="7"/>
  <c r="G36" i="7"/>
  <c r="G37" i="7"/>
  <c r="G39" i="7"/>
  <c r="G26" i="7"/>
  <c r="G30" i="7"/>
  <c r="G34" i="7"/>
  <c r="G38" i="7"/>
  <c r="Z7" i="7"/>
  <c r="Z14" i="7"/>
  <c r="L33" i="6"/>
  <c r="L31" i="6"/>
  <c r="L39" i="6"/>
  <c r="L38" i="6"/>
  <c r="L35" i="6"/>
  <c r="L34" i="6"/>
  <c r="L26" i="10"/>
  <c r="L28" i="10"/>
  <c r="L27" i="10"/>
  <c r="L31" i="9"/>
  <c r="L32" i="9"/>
  <c r="L36" i="9"/>
  <c r="L34" i="9"/>
  <c r="L38" i="9"/>
  <c r="L39" i="9"/>
  <c r="L40" i="9"/>
  <c r="Z13" i="10"/>
  <c r="I34" i="9"/>
  <c r="I38" i="9"/>
  <c r="I39" i="9"/>
  <c r="I31" i="9"/>
  <c r="I32" i="9"/>
  <c r="I33" i="9"/>
  <c r="I35" i="9"/>
  <c r="I36" i="9"/>
  <c r="I37" i="9"/>
  <c r="I40" i="9"/>
  <c r="I31" i="6"/>
  <c r="I34" i="6"/>
  <c r="I38" i="6"/>
  <c r="I33" i="6"/>
  <c r="I35" i="6"/>
  <c r="I32" i="6"/>
  <c r="I36" i="6"/>
  <c r="I40" i="6"/>
  <c r="I37" i="6"/>
  <c r="I39" i="6"/>
  <c r="I26" i="11"/>
  <c r="I28" i="11"/>
  <c r="I30" i="11"/>
  <c r="I27" i="11"/>
  <c r="I29" i="11"/>
  <c r="Z10" i="10"/>
  <c r="Z10" i="9"/>
  <c r="Z10" i="6"/>
  <c r="I27" i="10"/>
  <c r="I29" i="10"/>
  <c r="I26" i="10"/>
  <c r="I28" i="10"/>
  <c r="I30" i="10"/>
  <c r="Z6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Q26" i="7"/>
  <c r="Q28" i="7"/>
  <c r="Q30" i="7"/>
  <c r="Q32" i="7"/>
  <c r="Q34" i="7"/>
  <c r="Q36" i="7"/>
  <c r="Q38" i="7"/>
  <c r="Q27" i="7"/>
  <c r="Q29" i="7"/>
  <c r="Q31" i="7"/>
  <c r="Q33" i="7"/>
  <c r="Q35" i="7"/>
  <c r="Q37" i="7"/>
  <c r="Q39" i="7"/>
  <c r="P31" i="9"/>
  <c r="P33" i="9"/>
  <c r="P35" i="9"/>
  <c r="P37" i="9"/>
  <c r="P32" i="9"/>
  <c r="P34" i="9"/>
  <c r="P36" i="9"/>
  <c r="P38" i="9"/>
  <c r="P39" i="9"/>
  <c r="P40" i="9"/>
  <c r="P32" i="6"/>
  <c r="P34" i="6"/>
  <c r="P36" i="6"/>
  <c r="P38" i="6"/>
  <c r="P40" i="6"/>
  <c r="P31" i="6"/>
  <c r="P33" i="6"/>
  <c r="P37" i="6"/>
  <c r="P35" i="6"/>
  <c r="P39" i="6"/>
  <c r="Z17" i="10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Z17" i="9"/>
  <c r="Z17" i="6"/>
  <c r="P26" i="10"/>
  <c r="P28" i="10"/>
  <c r="P30" i="10"/>
  <c r="P27" i="10"/>
  <c r="P29" i="10"/>
  <c r="Z17" i="11"/>
  <c r="O26" i="7"/>
  <c r="O28" i="7"/>
  <c r="O30" i="7"/>
  <c r="O32" i="7"/>
  <c r="O34" i="7"/>
  <c r="O36" i="7"/>
  <c r="O38" i="7"/>
  <c r="O27" i="7"/>
  <c r="O29" i="7"/>
  <c r="O31" i="7"/>
  <c r="O33" i="7"/>
  <c r="O35" i="7"/>
  <c r="O37" i="7"/>
  <c r="O39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M26" i="7"/>
  <c r="M28" i="7"/>
  <c r="M30" i="7"/>
  <c r="M32" i="7"/>
  <c r="M34" i="7"/>
  <c r="M36" i="7"/>
  <c r="M38" i="7"/>
  <c r="M27" i="7"/>
  <c r="M29" i="7"/>
  <c r="M31" i="7"/>
  <c r="M33" i="7"/>
  <c r="M35" i="7"/>
  <c r="M37" i="7"/>
  <c r="M39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Z11" i="7"/>
  <c r="Z10" i="7"/>
  <c r="E26" i="7"/>
  <c r="E28" i="7"/>
  <c r="E30" i="7"/>
  <c r="E32" i="7"/>
  <c r="E34" i="7"/>
  <c r="E36" i="7"/>
  <c r="E38" i="7"/>
  <c r="E27" i="7"/>
  <c r="E29" i="7"/>
  <c r="E31" i="7"/>
  <c r="E33" i="7"/>
  <c r="E35" i="7"/>
  <c r="E37" i="7"/>
  <c r="E39" i="7"/>
  <c r="O11" i="1" l="1"/>
  <c r="O29" i="1" s="1"/>
  <c r="D18" i="1"/>
  <c r="F28" i="1"/>
  <c r="B49" i="21"/>
  <c r="J49" i="21" s="1"/>
  <c r="B45" i="21"/>
  <c r="D45" i="21" s="1"/>
  <c r="B49" i="18"/>
  <c r="B47" i="21"/>
  <c r="B46" i="18"/>
  <c r="B48" i="18"/>
  <c r="B48" i="21"/>
  <c r="B46" i="21"/>
  <c r="B47" i="18"/>
  <c r="B44" i="18"/>
  <c r="J44" i="18" s="1"/>
  <c r="B45" i="18"/>
  <c r="D6" i="19"/>
  <c r="H8" i="19" s="1"/>
  <c r="H35" i="19" s="1"/>
  <c r="B43" i="21"/>
  <c r="H43" i="21" s="1"/>
  <c r="B44" i="21"/>
  <c r="B43" i="18"/>
  <c r="B41" i="18"/>
  <c r="B42" i="18"/>
  <c r="B42" i="21"/>
  <c r="B37" i="21"/>
  <c r="B41" i="21"/>
  <c r="B39" i="18"/>
  <c r="B40" i="18"/>
  <c r="B40" i="21"/>
  <c r="B39" i="21"/>
  <c r="B37" i="18"/>
  <c r="B38" i="18"/>
  <c r="O9" i="1"/>
  <c r="O27" i="1" s="1"/>
  <c r="P12" i="1"/>
  <c r="P30" i="1" s="1"/>
  <c r="B38" i="21"/>
  <c r="B35" i="21"/>
  <c r="D35" i="21" s="1"/>
  <c r="B34" i="18"/>
  <c r="B36" i="18"/>
  <c r="B32" i="21"/>
  <c r="B34" i="21"/>
  <c r="B36" i="21"/>
  <c r="B33" i="21"/>
  <c r="B35" i="18"/>
  <c r="B32" i="18"/>
  <c r="B33" i="18"/>
  <c r="J6" i="1"/>
  <c r="J24" i="1" s="1"/>
  <c r="N9" i="1"/>
  <c r="N27" i="1" s="1"/>
  <c r="F40" i="1"/>
  <c r="B31" i="21"/>
  <c r="L30" i="9"/>
  <c r="X30" i="9"/>
  <c r="N30" i="6"/>
  <c r="D30" i="6"/>
  <c r="X30" i="6"/>
  <c r="V30" i="6"/>
  <c r="M30" i="6"/>
  <c r="U30" i="6"/>
  <c r="O30" i="6"/>
  <c r="Q30" i="6"/>
  <c r="W30" i="6"/>
  <c r="N30" i="9"/>
  <c r="J30" i="9"/>
  <c r="W30" i="9"/>
  <c r="T30" i="9"/>
  <c r="H30" i="9"/>
  <c r="P30" i="6"/>
  <c r="P30" i="9"/>
  <c r="I30" i="6"/>
  <c r="I30" i="9"/>
  <c r="L30" i="6"/>
  <c r="R30" i="6"/>
  <c r="G30" i="6"/>
  <c r="K30" i="9"/>
  <c r="J30" i="6"/>
  <c r="R30" i="9"/>
  <c r="E30" i="6"/>
  <c r="K30" i="6"/>
  <c r="C30" i="6"/>
  <c r="Y30" i="6"/>
  <c r="T30" i="6"/>
  <c r="F30" i="9"/>
  <c r="M30" i="9"/>
  <c r="D30" i="9"/>
  <c r="E30" i="9"/>
  <c r="Q30" i="9"/>
  <c r="Y30" i="9"/>
  <c r="U30" i="9"/>
  <c r="C30" i="9"/>
  <c r="G30" i="9"/>
  <c r="M28" i="9"/>
  <c r="B30" i="18"/>
  <c r="I29" i="9"/>
  <c r="L29" i="9"/>
  <c r="R29" i="6"/>
  <c r="G29" i="6"/>
  <c r="S29" i="9"/>
  <c r="S29" i="6"/>
  <c r="C29" i="9"/>
  <c r="M29" i="6"/>
  <c r="N29" i="9"/>
  <c r="E29" i="9"/>
  <c r="L29" i="6"/>
  <c r="X29" i="9"/>
  <c r="U29" i="9"/>
  <c r="Y29" i="9"/>
  <c r="T29" i="9"/>
  <c r="N29" i="6"/>
  <c r="O29" i="6"/>
  <c r="J29" i="6"/>
  <c r="C29" i="6"/>
  <c r="H29" i="6"/>
  <c r="Y29" i="6"/>
  <c r="T29" i="6"/>
  <c r="O29" i="9"/>
  <c r="P29" i="6"/>
  <c r="P29" i="9"/>
  <c r="I29" i="6"/>
  <c r="F29" i="6"/>
  <c r="K29" i="9"/>
  <c r="B30" i="21"/>
  <c r="M29" i="9"/>
  <c r="F29" i="9"/>
  <c r="D29" i="9"/>
  <c r="J29" i="9"/>
  <c r="R29" i="9"/>
  <c r="W29" i="9"/>
  <c r="Q29" i="9"/>
  <c r="V29" i="9"/>
  <c r="K29" i="6"/>
  <c r="X29" i="6"/>
  <c r="D29" i="6"/>
  <c r="U29" i="6"/>
  <c r="E29" i="6"/>
  <c r="V29" i="6"/>
  <c r="Q29" i="6"/>
  <c r="W29" i="6"/>
  <c r="G29" i="9"/>
  <c r="H29" i="9"/>
  <c r="P28" i="6"/>
  <c r="P28" i="9"/>
  <c r="I28" i="9"/>
  <c r="L28" i="9"/>
  <c r="K28" i="9"/>
  <c r="S28" i="6"/>
  <c r="D28" i="6"/>
  <c r="V28" i="9"/>
  <c r="J28" i="6"/>
  <c r="W28" i="9"/>
  <c r="T28" i="9"/>
  <c r="Q28" i="9"/>
  <c r="O28" i="6"/>
  <c r="V28" i="6"/>
  <c r="C28" i="9"/>
  <c r="G28" i="9"/>
  <c r="M28" i="6"/>
  <c r="C28" i="6"/>
  <c r="H28" i="9"/>
  <c r="N28" i="6"/>
  <c r="U28" i="6"/>
  <c r="K28" i="6"/>
  <c r="E28" i="9"/>
  <c r="H25" i="7"/>
  <c r="B29" i="18"/>
  <c r="O28" i="9"/>
  <c r="I28" i="6"/>
  <c r="R28" i="6"/>
  <c r="G28" i="6"/>
  <c r="F28" i="6"/>
  <c r="S28" i="9"/>
  <c r="X28" i="6"/>
  <c r="X28" i="9"/>
  <c r="R28" i="9"/>
  <c r="U28" i="9"/>
  <c r="Y28" i="9"/>
  <c r="Q28" i="6"/>
  <c r="E28" i="6"/>
  <c r="T28" i="6"/>
  <c r="B29" i="21"/>
  <c r="W28" i="6"/>
  <c r="D28" i="9"/>
  <c r="J28" i="9"/>
  <c r="H28" i="6"/>
  <c r="Y28" i="6"/>
  <c r="F28" i="9"/>
  <c r="N28" i="9"/>
  <c r="L28" i="6"/>
  <c r="R27" i="6"/>
  <c r="F27" i="6"/>
  <c r="S27" i="9"/>
  <c r="S27" i="6"/>
  <c r="K27" i="9"/>
  <c r="N27" i="9"/>
  <c r="G27" i="9"/>
  <c r="L27" i="6"/>
  <c r="Q27" i="9"/>
  <c r="Y27" i="9"/>
  <c r="V27" i="9"/>
  <c r="X27" i="9"/>
  <c r="R27" i="9"/>
  <c r="C27" i="6"/>
  <c r="H27" i="6"/>
  <c r="O27" i="6"/>
  <c r="Q27" i="6"/>
  <c r="D27" i="6"/>
  <c r="K27" i="6"/>
  <c r="W27" i="6"/>
  <c r="U27" i="6"/>
  <c r="P27" i="6"/>
  <c r="P27" i="9"/>
  <c r="I27" i="6"/>
  <c r="I27" i="9"/>
  <c r="L27" i="9"/>
  <c r="G27" i="6"/>
  <c r="M27" i="9"/>
  <c r="B28" i="21"/>
  <c r="E28" i="21" s="1"/>
  <c r="D27" i="9"/>
  <c r="O27" i="9"/>
  <c r="T27" i="9"/>
  <c r="U27" i="9"/>
  <c r="W27" i="9"/>
  <c r="C27" i="9"/>
  <c r="Y27" i="6"/>
  <c r="X27" i="6"/>
  <c r="V27" i="6"/>
  <c r="E27" i="6"/>
  <c r="J27" i="6"/>
  <c r="T27" i="6"/>
  <c r="N27" i="6"/>
  <c r="M27" i="6"/>
  <c r="J27" i="9"/>
  <c r="Y10" i="7"/>
  <c r="Y11" i="7"/>
  <c r="Y17" i="11"/>
  <c r="Y17" i="10"/>
  <c r="P26" i="6"/>
  <c r="I26" i="6"/>
  <c r="L26" i="9"/>
  <c r="Y14" i="7"/>
  <c r="Y7" i="7"/>
  <c r="Y9" i="7"/>
  <c r="R26" i="6"/>
  <c r="Y14" i="11"/>
  <c r="Y14" i="9"/>
  <c r="Y8" i="6"/>
  <c r="Y8" i="7"/>
  <c r="Y19" i="7"/>
  <c r="Y16" i="9"/>
  <c r="Y15" i="9"/>
  <c r="Y8" i="9"/>
  <c r="Y18" i="7"/>
  <c r="Y16" i="7"/>
  <c r="Y6" i="9"/>
  <c r="S26" i="9"/>
  <c r="Y20" i="9"/>
  <c r="X26" i="9"/>
  <c r="Y25" i="11"/>
  <c r="Y25" i="6"/>
  <c r="Y23" i="11"/>
  <c r="Y23" i="6"/>
  <c r="N26" i="6"/>
  <c r="Y13" i="6"/>
  <c r="Y13" i="9"/>
  <c r="Y11" i="11"/>
  <c r="J26" i="6"/>
  <c r="H26" i="6"/>
  <c r="Y9" i="10"/>
  <c r="Y7" i="10"/>
  <c r="Y5" i="7"/>
  <c r="Y5" i="9"/>
  <c r="Y5" i="11"/>
  <c r="Y25" i="9"/>
  <c r="Y25" i="10"/>
  <c r="X26" i="6"/>
  <c r="R26" i="9"/>
  <c r="Y19" i="9"/>
  <c r="Y13" i="11"/>
  <c r="Y11" i="6"/>
  <c r="Y9" i="6"/>
  <c r="Y7" i="11"/>
  <c r="Y5" i="10"/>
  <c r="O26" i="6"/>
  <c r="Y16" i="10"/>
  <c r="Y21" i="6"/>
  <c r="B27" i="21"/>
  <c r="K27" i="21" s="1"/>
  <c r="Y22" i="11"/>
  <c r="Y18" i="6"/>
  <c r="Q26" i="6"/>
  <c r="Y16" i="11"/>
  <c r="Y14" i="6"/>
  <c r="Y6" i="6"/>
  <c r="Y24" i="7"/>
  <c r="Y12" i="11"/>
  <c r="W26" i="9"/>
  <c r="Y4" i="6"/>
  <c r="Y12" i="10"/>
  <c r="Y22" i="7"/>
  <c r="Y15" i="10"/>
  <c r="G26" i="9"/>
  <c r="K26" i="6"/>
  <c r="Y21" i="10"/>
  <c r="Y23" i="7"/>
  <c r="Y22" i="10"/>
  <c r="Y4" i="9"/>
  <c r="Y22" i="6"/>
  <c r="Y4" i="11"/>
  <c r="Y21" i="11"/>
  <c r="Y17" i="6"/>
  <c r="Y17" i="9"/>
  <c r="P26" i="9"/>
  <c r="Y6" i="7"/>
  <c r="Y10" i="6"/>
  <c r="Y10" i="9"/>
  <c r="Y10" i="10"/>
  <c r="I26" i="9"/>
  <c r="Y12" i="7"/>
  <c r="Y15" i="7"/>
  <c r="G26" i="6"/>
  <c r="Y8" i="10"/>
  <c r="Y7" i="6"/>
  <c r="F26" i="6"/>
  <c r="Y12" i="9"/>
  <c r="Y7" i="9"/>
  <c r="Y13" i="7"/>
  <c r="S26" i="6"/>
  <c r="Y21" i="9"/>
  <c r="Y22" i="9"/>
  <c r="Y23" i="9"/>
  <c r="V26" i="9"/>
  <c r="D26" i="6"/>
  <c r="Y23" i="10"/>
  <c r="V26" i="6"/>
  <c r="Y19" i="6"/>
  <c r="Y15" i="6"/>
  <c r="Y11" i="9"/>
  <c r="Y11" i="10"/>
  <c r="Y9" i="9"/>
  <c r="Y5" i="6"/>
  <c r="Y15" i="11"/>
  <c r="M26" i="9"/>
  <c r="M26" i="6"/>
  <c r="Y26" i="9"/>
  <c r="Y16" i="6"/>
  <c r="U26" i="9"/>
  <c r="Y25" i="7"/>
  <c r="Y14" i="10"/>
  <c r="D26" i="9"/>
  <c r="O26" i="9"/>
  <c r="U26" i="6"/>
  <c r="E25" i="7"/>
  <c r="X10" i="7"/>
  <c r="J25" i="7"/>
  <c r="M25" i="7"/>
  <c r="N25" i="7"/>
  <c r="O25" i="7"/>
  <c r="X17" i="11"/>
  <c r="X17" i="9"/>
  <c r="X17" i="10"/>
  <c r="P25" i="9"/>
  <c r="Q25" i="7"/>
  <c r="R25" i="7"/>
  <c r="I25" i="10"/>
  <c r="X10" i="6"/>
  <c r="I25" i="9"/>
  <c r="X13" i="10"/>
  <c r="L25" i="6"/>
  <c r="X7" i="7"/>
  <c r="X9" i="7"/>
  <c r="P24" i="10"/>
  <c r="X21" i="7"/>
  <c r="X20" i="6"/>
  <c r="X15" i="11"/>
  <c r="X5" i="10"/>
  <c r="D25" i="7"/>
  <c r="X9" i="9"/>
  <c r="X9" i="6"/>
  <c r="X11" i="9"/>
  <c r="X15" i="6"/>
  <c r="X19" i="6"/>
  <c r="X21" i="6"/>
  <c r="X14" i="6"/>
  <c r="X6" i="6"/>
  <c r="X16" i="6"/>
  <c r="X18" i="6"/>
  <c r="D25" i="10"/>
  <c r="K25" i="10"/>
  <c r="U25" i="10"/>
  <c r="R25" i="10"/>
  <c r="V25" i="10"/>
  <c r="T25" i="10"/>
  <c r="X25" i="10"/>
  <c r="X4" i="10"/>
  <c r="X16" i="10"/>
  <c r="X12" i="10"/>
  <c r="X22" i="10"/>
  <c r="X16" i="11"/>
  <c r="X20" i="11"/>
  <c r="X22" i="11"/>
  <c r="X24" i="11"/>
  <c r="T25" i="9"/>
  <c r="X25" i="9"/>
  <c r="U25" i="9"/>
  <c r="X13" i="11"/>
  <c r="P25" i="11"/>
  <c r="R25" i="11"/>
  <c r="L25" i="7"/>
  <c r="E25" i="9"/>
  <c r="N25" i="9"/>
  <c r="X14" i="10"/>
  <c r="G25" i="11"/>
  <c r="X5" i="11"/>
  <c r="X5" i="9"/>
  <c r="X9" i="11"/>
  <c r="X11" i="11"/>
  <c r="X13" i="6"/>
  <c r="V25" i="7"/>
  <c r="X23" i="6"/>
  <c r="X25" i="7"/>
  <c r="O25" i="6"/>
  <c r="X25" i="6"/>
  <c r="J25" i="6"/>
  <c r="T25" i="6"/>
  <c r="K25" i="6"/>
  <c r="W25" i="6"/>
  <c r="H25" i="6"/>
  <c r="C25" i="11"/>
  <c r="T25" i="11"/>
  <c r="U25" i="11"/>
  <c r="X25" i="11"/>
  <c r="O25" i="11"/>
  <c r="Q25" i="11"/>
  <c r="H25" i="11"/>
  <c r="X18" i="9"/>
  <c r="X23" i="7"/>
  <c r="S25" i="6"/>
  <c r="X7" i="9"/>
  <c r="X12" i="9"/>
  <c r="X16" i="7"/>
  <c r="X7" i="6"/>
  <c r="C25" i="7"/>
  <c r="X18" i="7"/>
  <c r="X8" i="9"/>
  <c r="S25" i="7"/>
  <c r="X15" i="9"/>
  <c r="X19" i="7"/>
  <c r="X8" i="7"/>
  <c r="X14" i="9"/>
  <c r="M25" i="10"/>
  <c r="R25" i="6"/>
  <c r="X20" i="7"/>
  <c r="O25" i="9"/>
  <c r="K25" i="9"/>
  <c r="X13" i="7"/>
  <c r="X5" i="6"/>
  <c r="X11" i="10"/>
  <c r="X11" i="6"/>
  <c r="X19" i="11"/>
  <c r="X19" i="9"/>
  <c r="X23" i="10"/>
  <c r="X4" i="6"/>
  <c r="X22" i="6"/>
  <c r="X12" i="6"/>
  <c r="X24" i="6"/>
  <c r="B26" i="21"/>
  <c r="I26" i="21" s="1"/>
  <c r="O25" i="10"/>
  <c r="N25" i="10"/>
  <c r="E25" i="10"/>
  <c r="H25" i="10"/>
  <c r="W25" i="10"/>
  <c r="Q25" i="10"/>
  <c r="C25" i="10"/>
  <c r="J25" i="10"/>
  <c r="X21" i="10"/>
  <c r="X18" i="10"/>
  <c r="X20" i="10"/>
  <c r="X21" i="11"/>
  <c r="X4" i="11"/>
  <c r="X6" i="11"/>
  <c r="X12" i="11"/>
  <c r="X18" i="11"/>
  <c r="C25" i="9"/>
  <c r="V25" i="9"/>
  <c r="Q25" i="9"/>
  <c r="R25" i="9"/>
  <c r="W25" i="9"/>
  <c r="X10" i="11"/>
  <c r="J25" i="9"/>
  <c r="D25" i="9"/>
  <c r="F25" i="9"/>
  <c r="F25" i="10"/>
  <c r="X15" i="10"/>
  <c r="X6" i="10"/>
  <c r="X5" i="7"/>
  <c r="X13" i="9"/>
  <c r="X19" i="10"/>
  <c r="X23" i="11"/>
  <c r="X23" i="9"/>
  <c r="X24" i="7"/>
  <c r="X4" i="7"/>
  <c r="C25" i="6"/>
  <c r="Q25" i="6"/>
  <c r="V25" i="6"/>
  <c r="D25" i="6"/>
  <c r="N25" i="6"/>
  <c r="E25" i="6"/>
  <c r="U25" i="6"/>
  <c r="W25" i="11"/>
  <c r="M25" i="11"/>
  <c r="V25" i="11"/>
  <c r="J25" i="11"/>
  <c r="K25" i="11"/>
  <c r="D25" i="11"/>
  <c r="E25" i="11"/>
  <c r="L25" i="11"/>
  <c r="X4" i="9"/>
  <c r="X24" i="9"/>
  <c r="X22" i="9"/>
  <c r="X21" i="9"/>
  <c r="X20" i="9"/>
  <c r="S25" i="10"/>
  <c r="S25" i="9"/>
  <c r="S25" i="11"/>
  <c r="X6" i="9"/>
  <c r="M25" i="9"/>
  <c r="F25" i="6"/>
  <c r="G25" i="10"/>
  <c r="X8" i="10"/>
  <c r="N25" i="11"/>
  <c r="X16" i="9"/>
  <c r="G25" i="6"/>
  <c r="X8" i="6"/>
  <c r="X14" i="11"/>
  <c r="X15" i="7"/>
  <c r="X11" i="7"/>
  <c r="P25" i="10"/>
  <c r="X17" i="6"/>
  <c r="P25" i="7"/>
  <c r="P25" i="6"/>
  <c r="X6" i="7"/>
  <c r="X10" i="9"/>
  <c r="X10" i="10"/>
  <c r="I25" i="11"/>
  <c r="I25" i="6"/>
  <c r="L25" i="9"/>
  <c r="L25" i="10"/>
  <c r="X14" i="7"/>
  <c r="G25" i="7"/>
  <c r="X12" i="7"/>
  <c r="K25" i="7"/>
  <c r="X9" i="10"/>
  <c r="W10" i="7"/>
  <c r="M24" i="7"/>
  <c r="N24" i="7"/>
  <c r="O24" i="7"/>
  <c r="W17" i="11"/>
  <c r="O24" i="6"/>
  <c r="W16" i="10"/>
  <c r="Q24" i="9"/>
  <c r="W24" i="9"/>
  <c r="W22" i="10"/>
  <c r="E24" i="9"/>
  <c r="O24" i="9"/>
  <c r="N24" i="9"/>
  <c r="F24" i="9"/>
  <c r="W6" i="10"/>
  <c r="W20" i="10"/>
  <c r="K24" i="11"/>
  <c r="C24" i="11"/>
  <c r="T24" i="10"/>
  <c r="C24" i="6"/>
  <c r="W24" i="6"/>
  <c r="W12" i="11"/>
  <c r="W16" i="6"/>
  <c r="E24" i="10"/>
  <c r="U24" i="10"/>
  <c r="W21" i="6"/>
  <c r="T24" i="11"/>
  <c r="W9" i="6"/>
  <c r="W11" i="10"/>
  <c r="W11" i="6"/>
  <c r="W15" i="6"/>
  <c r="W19" i="11"/>
  <c r="W19" i="9"/>
  <c r="R24" i="9"/>
  <c r="F24" i="10"/>
  <c r="W20" i="6"/>
  <c r="V24" i="10"/>
  <c r="D24" i="10"/>
  <c r="W5" i="9"/>
  <c r="W5" i="7"/>
  <c r="H24" i="10"/>
  <c r="W13" i="6"/>
  <c r="V24" i="7"/>
  <c r="W23" i="6"/>
  <c r="W23" i="11"/>
  <c r="W23" i="9"/>
  <c r="V24" i="6"/>
  <c r="W22" i="9"/>
  <c r="W21" i="9"/>
  <c r="W20" i="9"/>
  <c r="S24" i="10"/>
  <c r="S24" i="6"/>
  <c r="S24" i="11"/>
  <c r="W13" i="7"/>
  <c r="W12" i="9"/>
  <c r="W16" i="7"/>
  <c r="F24" i="6"/>
  <c r="W7" i="6"/>
  <c r="C24" i="7"/>
  <c r="G24" i="10"/>
  <c r="W8" i="10"/>
  <c r="N24" i="11"/>
  <c r="W19" i="7"/>
  <c r="W8" i="7"/>
  <c r="G24" i="6"/>
  <c r="W8" i="6"/>
  <c r="W14" i="11"/>
  <c r="L24" i="7"/>
  <c r="R24" i="6"/>
  <c r="W15" i="7"/>
  <c r="I24" i="7"/>
  <c r="H24" i="7"/>
  <c r="W14" i="10"/>
  <c r="W18" i="9"/>
  <c r="T24" i="9"/>
  <c r="W21" i="10"/>
  <c r="O24" i="11"/>
  <c r="W4" i="10"/>
  <c r="J24" i="9"/>
  <c r="D24" i="9"/>
  <c r="C24" i="9"/>
  <c r="U24" i="11"/>
  <c r="W24" i="10"/>
  <c r="W18" i="10"/>
  <c r="K24" i="6"/>
  <c r="M24" i="6"/>
  <c r="W4" i="6"/>
  <c r="W12" i="6"/>
  <c r="W6" i="6"/>
  <c r="W14" i="6"/>
  <c r="W18" i="6"/>
  <c r="U24" i="7"/>
  <c r="K24" i="10"/>
  <c r="O24" i="10"/>
  <c r="B25" i="21"/>
  <c r="C25" i="21" s="1"/>
  <c r="N25" i="21" s="1"/>
  <c r="Y25" i="21" s="1"/>
  <c r="Q24" i="11"/>
  <c r="T24" i="7"/>
  <c r="W15" i="11"/>
  <c r="W15" i="10"/>
  <c r="W5" i="10"/>
  <c r="D24" i="11"/>
  <c r="W5" i="6"/>
  <c r="F24" i="11"/>
  <c r="W9" i="9"/>
  <c r="J24" i="11"/>
  <c r="W11" i="9"/>
  <c r="N24" i="10"/>
  <c r="W19" i="6"/>
  <c r="W23" i="10"/>
  <c r="V24" i="11"/>
  <c r="D24" i="7"/>
  <c r="W7" i="11"/>
  <c r="L24" i="11"/>
  <c r="J24" i="10"/>
  <c r="W5" i="11"/>
  <c r="W9" i="11"/>
  <c r="W11" i="11"/>
  <c r="W13" i="9"/>
  <c r="W19" i="10"/>
  <c r="R24" i="10"/>
  <c r="V24" i="9"/>
  <c r="J24" i="6"/>
  <c r="S24" i="9"/>
  <c r="W7" i="9"/>
  <c r="W6" i="9"/>
  <c r="W18" i="7"/>
  <c r="W8" i="9"/>
  <c r="W15" i="9"/>
  <c r="W16" i="9"/>
  <c r="W14" i="9"/>
  <c r="M24" i="10"/>
  <c r="K24" i="7"/>
  <c r="W12" i="7"/>
  <c r="W9" i="7"/>
  <c r="W7" i="7"/>
  <c r="L24" i="6"/>
  <c r="L24" i="9"/>
  <c r="W10" i="10"/>
  <c r="W10" i="6"/>
  <c r="I24" i="10"/>
  <c r="W6" i="7"/>
  <c r="R24" i="7"/>
  <c r="Q24" i="7"/>
  <c r="P24" i="7"/>
  <c r="W17" i="9"/>
  <c r="J24" i="7"/>
  <c r="G24" i="7"/>
  <c r="W14" i="7"/>
  <c r="L24" i="10"/>
  <c r="I24" i="9"/>
  <c r="I24" i="6"/>
  <c r="I24" i="11"/>
  <c r="W10" i="9"/>
  <c r="P24" i="9"/>
  <c r="P24" i="6"/>
  <c r="W17" i="10"/>
  <c r="W17" i="6"/>
  <c r="E24" i="7"/>
  <c r="W11" i="7"/>
  <c r="N15" i="1"/>
  <c r="N33" i="1" s="1"/>
  <c r="M15" i="1"/>
  <c r="M33" i="1" s="1"/>
  <c r="K12" i="1"/>
  <c r="K30" i="1" s="1"/>
  <c r="B16" i="21"/>
  <c r="K16" i="21" s="1"/>
  <c r="J9" i="1"/>
  <c r="J27" i="1" s="1"/>
  <c r="M12" i="1"/>
  <c r="M30" i="1" s="1"/>
  <c r="F6" i="19"/>
  <c r="L6" i="1"/>
  <c r="L24" i="1" s="1"/>
  <c r="L18" i="1"/>
  <c r="L36" i="1" s="1"/>
  <c r="L12" i="1"/>
  <c r="L30" i="1" s="1"/>
  <c r="V16" i="9"/>
  <c r="K14" i="1"/>
  <c r="K32" i="1" s="1"/>
  <c r="Y4" i="7"/>
  <c r="Y4" i="10"/>
  <c r="U24" i="9"/>
  <c r="Y24" i="9"/>
  <c r="Y24" i="6"/>
  <c r="Q26" i="9"/>
  <c r="Y18" i="9"/>
  <c r="W4" i="9"/>
  <c r="W22" i="6"/>
  <c r="W10" i="11"/>
  <c r="Y12" i="6"/>
  <c r="B28" i="18"/>
  <c r="H27" i="9"/>
  <c r="Y17" i="7"/>
  <c r="X22" i="7"/>
  <c r="Y24" i="10"/>
  <c r="F27" i="9"/>
  <c r="E27" i="9"/>
  <c r="Y8" i="11"/>
  <c r="Y24" i="11"/>
  <c r="T26" i="6"/>
  <c r="Y6" i="11"/>
  <c r="C26" i="9"/>
  <c r="F26" i="9"/>
  <c r="Y6" i="10"/>
  <c r="N26" i="9"/>
  <c r="J26" i="9"/>
  <c r="E26" i="6"/>
  <c r="B27" i="18"/>
  <c r="Y20" i="11"/>
  <c r="T26" i="9"/>
  <c r="K26" i="9"/>
  <c r="H26" i="9"/>
  <c r="E26" i="9"/>
  <c r="Y10" i="11"/>
  <c r="Y19" i="11"/>
  <c r="Y18" i="11"/>
  <c r="H24" i="6"/>
  <c r="Y20" i="7"/>
  <c r="L26" i="6"/>
  <c r="Y21" i="7"/>
  <c r="Y13" i="10"/>
  <c r="Y20" i="10"/>
  <c r="Y18" i="10"/>
  <c r="Y9" i="11"/>
  <c r="C26" i="6"/>
  <c r="Y20" i="6"/>
  <c r="Y19" i="10"/>
  <c r="Y26" i="6"/>
  <c r="W26" i="6"/>
  <c r="B26" i="18"/>
  <c r="U25" i="7"/>
  <c r="X7" i="11"/>
  <c r="G25" i="9"/>
  <c r="F25" i="7"/>
  <c r="I25" i="7"/>
  <c r="T25" i="7"/>
  <c r="W25" i="7"/>
  <c r="X8" i="11"/>
  <c r="X7" i="10"/>
  <c r="X17" i="7"/>
  <c r="X24" i="10"/>
  <c r="W18" i="11"/>
  <c r="H25" i="9"/>
  <c r="G24" i="11"/>
  <c r="W21" i="11"/>
  <c r="K24" i="9"/>
  <c r="F25" i="11"/>
  <c r="W20" i="11"/>
  <c r="Q24" i="6"/>
  <c r="P24" i="11"/>
  <c r="W17" i="7"/>
  <c r="M25" i="6"/>
  <c r="O12" i="1"/>
  <c r="O30" i="1" s="1"/>
  <c r="W24" i="7"/>
  <c r="B25" i="18"/>
  <c r="W4" i="7"/>
  <c r="U24" i="6"/>
  <c r="W16" i="11"/>
  <c r="D24" i="6"/>
  <c r="Q24" i="10"/>
  <c r="W8" i="11"/>
  <c r="W22" i="7"/>
  <c r="W9" i="10"/>
  <c r="M24" i="11"/>
  <c r="H24" i="9"/>
  <c r="W21" i="7"/>
  <c r="T24" i="6"/>
  <c r="E24" i="6"/>
  <c r="W23" i="7"/>
  <c r="N24" i="6"/>
  <c r="W12" i="10"/>
  <c r="C24" i="10"/>
  <c r="E24" i="11"/>
  <c r="W7" i="10"/>
  <c r="W20" i="7"/>
  <c r="F24" i="7"/>
  <c r="W13" i="11"/>
  <c r="M24" i="9"/>
  <c r="W24" i="11"/>
  <c r="W6" i="11"/>
  <c r="G24" i="9"/>
  <c r="W22" i="11"/>
  <c r="W4" i="11"/>
  <c r="R24" i="11"/>
  <c r="H24" i="11"/>
  <c r="S24" i="7"/>
  <c r="W13" i="10"/>
  <c r="M9" i="1"/>
  <c r="M27" i="1" s="1"/>
  <c r="J12" i="1"/>
  <c r="J30" i="1" s="1"/>
  <c r="N18" i="1"/>
  <c r="N36" i="1" s="1"/>
  <c r="N12" i="1"/>
  <c r="N30" i="1" s="1"/>
  <c r="K18" i="1"/>
  <c r="K36" i="1" s="1"/>
  <c r="J15" i="1"/>
  <c r="J33" i="1" s="1"/>
  <c r="K9" i="1"/>
  <c r="K27" i="1" s="1"/>
  <c r="L9" i="1"/>
  <c r="L27" i="1" s="1"/>
  <c r="J18" i="1"/>
  <c r="J36" i="1" s="1"/>
  <c r="K6" i="1"/>
  <c r="K24" i="1" s="1"/>
  <c r="L15" i="1"/>
  <c r="L33" i="1" s="1"/>
  <c r="M18" i="1"/>
  <c r="M36" i="1" s="1"/>
  <c r="O18" i="1"/>
  <c r="O36" i="1" s="1"/>
  <c r="K15" i="1"/>
  <c r="K33" i="1" s="1"/>
  <c r="L17" i="1"/>
  <c r="L35" i="1" s="1"/>
  <c r="J8" i="1"/>
  <c r="J26" i="1" s="1"/>
  <c r="M8" i="1"/>
  <c r="M26" i="1" s="1"/>
  <c r="M14" i="1"/>
  <c r="M32" i="1" s="1"/>
  <c r="N11" i="1"/>
  <c r="N29" i="1" s="1"/>
  <c r="J14" i="1"/>
  <c r="J32" i="1" s="1"/>
  <c r="E8" i="10"/>
  <c r="J4" i="11"/>
  <c r="D10" i="10"/>
  <c r="G9" i="11"/>
  <c r="T7" i="9"/>
  <c r="E6" i="11"/>
  <c r="S5" i="6"/>
  <c r="D4" i="9"/>
  <c r="B9" i="18"/>
  <c r="G9" i="18" s="1"/>
  <c r="N4" i="9"/>
  <c r="V11" i="7"/>
  <c r="J23" i="7"/>
  <c r="I23" i="11"/>
  <c r="V15" i="7"/>
  <c r="V8" i="7"/>
  <c r="V15" i="9"/>
  <c r="V17" i="11"/>
  <c r="P23" i="10"/>
  <c r="P23" i="7"/>
  <c r="V17" i="10"/>
  <c r="P23" i="6"/>
  <c r="P23" i="9"/>
  <c r="V6" i="7"/>
  <c r="I23" i="10"/>
  <c r="V14" i="7"/>
  <c r="V7" i="7"/>
  <c r="H23" i="7"/>
  <c r="V17" i="7"/>
  <c r="J21" i="10"/>
  <c r="B24" i="21"/>
  <c r="B24" i="18"/>
  <c r="C23" i="10"/>
  <c r="O23" i="10"/>
  <c r="V23" i="10"/>
  <c r="H23" i="11"/>
  <c r="G23" i="11"/>
  <c r="S23" i="11"/>
  <c r="V6" i="10"/>
  <c r="V8" i="10"/>
  <c r="V16" i="10"/>
  <c r="V18" i="10"/>
  <c r="V7" i="10"/>
  <c r="V15" i="10"/>
  <c r="E23" i="10"/>
  <c r="U23" i="10"/>
  <c r="H23" i="10"/>
  <c r="F23" i="10"/>
  <c r="J23" i="10"/>
  <c r="E23" i="11"/>
  <c r="U23" i="11"/>
  <c r="J23" i="11"/>
  <c r="V4" i="10"/>
  <c r="V22" i="10"/>
  <c r="M23" i="6"/>
  <c r="U23" i="6"/>
  <c r="T23" i="6"/>
  <c r="V19" i="9"/>
  <c r="V21" i="9"/>
  <c r="R23" i="9"/>
  <c r="S23" i="9"/>
  <c r="V16" i="6"/>
  <c r="V22" i="11"/>
  <c r="V12" i="10"/>
  <c r="V12" i="11"/>
  <c r="V11" i="10"/>
  <c r="V4" i="6"/>
  <c r="S23" i="6"/>
  <c r="N23" i="6"/>
  <c r="V22" i="7"/>
  <c r="V18" i="7"/>
  <c r="V16" i="7"/>
  <c r="T23" i="9"/>
  <c r="Q23" i="9"/>
  <c r="V22" i="6"/>
  <c r="V20" i="6"/>
  <c r="V18" i="6"/>
  <c r="V18" i="9"/>
  <c r="V20" i="9"/>
  <c r="V22" i="9"/>
  <c r="V11" i="6"/>
  <c r="V8" i="9"/>
  <c r="F23" i="6"/>
  <c r="V5" i="9"/>
  <c r="D23" i="6"/>
  <c r="V12" i="9"/>
  <c r="V9" i="6"/>
  <c r="V6" i="6"/>
  <c r="E23" i="6"/>
  <c r="G23" i="10"/>
  <c r="S23" i="10"/>
  <c r="D23" i="10"/>
  <c r="N23" i="10"/>
  <c r="K23" i="10"/>
  <c r="D23" i="11"/>
  <c r="T23" i="11"/>
  <c r="C23" i="11"/>
  <c r="O23" i="11"/>
  <c r="V14" i="10"/>
  <c r="V20" i="10"/>
  <c r="V4" i="11"/>
  <c r="V20" i="11"/>
  <c r="C23" i="6"/>
  <c r="V5" i="10"/>
  <c r="V9" i="10"/>
  <c r="V19" i="10"/>
  <c r="V21" i="10"/>
  <c r="Q23" i="10"/>
  <c r="T23" i="10"/>
  <c r="R23" i="10"/>
  <c r="V5" i="11"/>
  <c r="V7" i="11"/>
  <c r="V15" i="11"/>
  <c r="V21" i="11"/>
  <c r="V23" i="11"/>
  <c r="Q23" i="11"/>
  <c r="K23" i="11"/>
  <c r="V6" i="11"/>
  <c r="V16" i="11"/>
  <c r="V11" i="11"/>
  <c r="V10" i="11"/>
  <c r="Q23" i="6"/>
  <c r="V15" i="6"/>
  <c r="V4" i="7"/>
  <c r="V23" i="9"/>
  <c r="O23" i="6"/>
  <c r="V23" i="6"/>
  <c r="V21" i="6"/>
  <c r="V19" i="6"/>
  <c r="U23" i="9"/>
  <c r="T23" i="7"/>
  <c r="U23" i="7"/>
  <c r="K23" i="6"/>
  <c r="J23" i="6"/>
  <c r="V11" i="9"/>
  <c r="V9" i="9"/>
  <c r="V7" i="9"/>
  <c r="V6" i="9"/>
  <c r="V5" i="6"/>
  <c r="V5" i="7"/>
  <c r="V13" i="9"/>
  <c r="V23" i="7"/>
  <c r="V4" i="9"/>
  <c r="V12" i="6"/>
  <c r="H23" i="6"/>
  <c r="V7" i="6"/>
  <c r="V13" i="6"/>
  <c r="V13" i="11"/>
  <c r="C23" i="7"/>
  <c r="M23" i="11"/>
  <c r="V9" i="11"/>
  <c r="K23" i="9"/>
  <c r="F23" i="9"/>
  <c r="N23" i="9"/>
  <c r="D23" i="9"/>
  <c r="F23" i="11"/>
  <c r="M23" i="9"/>
  <c r="G23" i="9"/>
  <c r="S23" i="7"/>
  <c r="V21" i="7"/>
  <c r="V20" i="7"/>
  <c r="L23" i="7"/>
  <c r="V13" i="7"/>
  <c r="V18" i="11"/>
  <c r="C23" i="9"/>
  <c r="D23" i="7"/>
  <c r="V8" i="11"/>
  <c r="V14" i="6"/>
  <c r="H23" i="9"/>
  <c r="O23" i="9"/>
  <c r="J23" i="9"/>
  <c r="E23" i="9"/>
  <c r="F23" i="7"/>
  <c r="L23" i="11"/>
  <c r="R23" i="11"/>
  <c r="V19" i="11"/>
  <c r="P23" i="11"/>
  <c r="L23" i="10"/>
  <c r="E23" i="7"/>
  <c r="V10" i="7"/>
  <c r="M23" i="7"/>
  <c r="N23" i="7"/>
  <c r="O23" i="7"/>
  <c r="V17" i="6"/>
  <c r="V17" i="9"/>
  <c r="Q23" i="7"/>
  <c r="R23" i="7"/>
  <c r="V10" i="6"/>
  <c r="V10" i="9"/>
  <c r="V10" i="10"/>
  <c r="I23" i="6"/>
  <c r="I23" i="9"/>
  <c r="V13" i="10"/>
  <c r="L23" i="9"/>
  <c r="L23" i="6"/>
  <c r="G23" i="7"/>
  <c r="V9" i="7"/>
  <c r="I23" i="7"/>
  <c r="V12" i="7"/>
  <c r="K23" i="7"/>
  <c r="R23" i="6"/>
  <c r="V14" i="11"/>
  <c r="M23" i="10"/>
  <c r="V14" i="9"/>
  <c r="V8" i="6"/>
  <c r="G23" i="6"/>
  <c r="V19" i="7"/>
  <c r="N23" i="11"/>
  <c r="D4" i="6"/>
  <c r="L13" i="10"/>
  <c r="T18" i="9"/>
  <c r="I21" i="6"/>
  <c r="E10" i="11"/>
  <c r="T6" i="7"/>
  <c r="T19" i="9"/>
  <c r="I11" i="11"/>
  <c r="L11" i="10"/>
  <c r="T13" i="9"/>
  <c r="F21" i="6"/>
  <c r="J21" i="6"/>
  <c r="F4" i="11"/>
  <c r="I5" i="10"/>
  <c r="G8" i="11"/>
  <c r="B6" i="21"/>
  <c r="E6" i="21" s="1"/>
  <c r="J10" i="11"/>
  <c r="T6" i="9"/>
  <c r="E4" i="9"/>
  <c r="B11" i="21"/>
  <c r="G11" i="21" s="1"/>
  <c r="O4" i="7"/>
  <c r="T8" i="6"/>
  <c r="T4" i="9"/>
  <c r="S15" i="6"/>
  <c r="T14" i="6"/>
  <c r="E21" i="6"/>
  <c r="N10" i="10"/>
  <c r="R10" i="11"/>
  <c r="T21" i="7"/>
  <c r="T4" i="6"/>
  <c r="J5" i="1"/>
  <c r="J23" i="1" s="1"/>
  <c r="H4" i="9"/>
  <c r="G10" i="10"/>
  <c r="B8" i="18"/>
  <c r="H8" i="18" s="1"/>
  <c r="L8" i="11"/>
  <c r="H6" i="11"/>
  <c r="K4" i="6"/>
  <c r="D21" i="6"/>
  <c r="T5" i="9"/>
  <c r="S7" i="6"/>
  <c r="T9" i="9"/>
  <c r="J5" i="9"/>
  <c r="I4" i="7"/>
  <c r="K10" i="11"/>
  <c r="J10" i="10"/>
  <c r="I6" i="10"/>
  <c r="G13" i="11"/>
  <c r="F12" i="11"/>
  <c r="H8" i="10"/>
  <c r="E5" i="10"/>
  <c r="E4" i="6"/>
  <c r="H13" i="10"/>
  <c r="T13" i="6"/>
  <c r="T9" i="7"/>
  <c r="C5" i="6"/>
  <c r="G4" i="11"/>
  <c r="I13" i="10"/>
  <c r="H13" i="11"/>
  <c r="K11" i="10"/>
  <c r="T10" i="9"/>
  <c r="T7" i="7"/>
  <c r="T9" i="6"/>
  <c r="T12" i="6"/>
  <c r="S18" i="6"/>
  <c r="T4" i="7"/>
  <c r="R21" i="6"/>
  <c r="O13" i="11"/>
  <c r="T15" i="9"/>
  <c r="D20" i="11"/>
  <c r="L21" i="6"/>
  <c r="S11" i="10"/>
  <c r="T8" i="11"/>
  <c r="O8" i="1"/>
  <c r="O26" i="1" s="1"/>
  <c r="J11" i="1"/>
  <c r="J29" i="1" s="1"/>
  <c r="L11" i="1"/>
  <c r="L29" i="1" s="1"/>
  <c r="K8" i="1"/>
  <c r="K26" i="1" s="1"/>
  <c r="N14" i="1"/>
  <c r="N32" i="1" s="1"/>
  <c r="M17" i="1"/>
  <c r="M35" i="1" s="1"/>
  <c r="K5" i="1"/>
  <c r="K23" i="1" s="1"/>
  <c r="L14" i="1"/>
  <c r="L32" i="1" s="1"/>
  <c r="N8" i="1"/>
  <c r="N26" i="1" s="1"/>
  <c r="F13" i="10"/>
  <c r="T10" i="7"/>
  <c r="T16" i="9"/>
  <c r="N21" i="6"/>
  <c r="T20" i="6"/>
  <c r="T12" i="11"/>
  <c r="K14" i="11"/>
  <c r="E21" i="11"/>
  <c r="M21" i="10"/>
  <c r="T6" i="10"/>
  <c r="T4" i="10"/>
  <c r="M10" i="11"/>
  <c r="Q11" i="11"/>
  <c r="S13" i="10"/>
  <c r="S21" i="9"/>
  <c r="P21" i="6"/>
  <c r="K20" i="11"/>
  <c r="E12" i="11"/>
  <c r="G5" i="10"/>
  <c r="G21" i="6"/>
  <c r="T11" i="9"/>
  <c r="K21" i="6"/>
  <c r="T17" i="7"/>
  <c r="Q21" i="9"/>
  <c r="S4" i="6"/>
  <c r="S12" i="10"/>
  <c r="T17" i="6"/>
  <c r="G20" i="11"/>
  <c r="T20" i="11"/>
  <c r="T14" i="10"/>
  <c r="N21" i="10"/>
  <c r="S20" i="10"/>
  <c r="O9" i="11"/>
  <c r="S21" i="11"/>
  <c r="U19" i="7"/>
  <c r="T7" i="10"/>
  <c r="S19" i="11"/>
  <c r="S7" i="10"/>
  <c r="T16" i="11"/>
  <c r="R21" i="10"/>
  <c r="M21" i="11"/>
  <c r="T16" i="10"/>
  <c r="T6" i="11"/>
  <c r="E21" i="10"/>
  <c r="F21" i="11"/>
  <c r="J21" i="11"/>
  <c r="T20" i="10"/>
  <c r="T18" i="11"/>
  <c r="T13" i="10"/>
  <c r="T10" i="10"/>
  <c r="T12" i="10"/>
  <c r="T21" i="6"/>
  <c r="T16" i="7"/>
  <c r="T18" i="6"/>
  <c r="S12" i="11"/>
  <c r="T11" i="11"/>
  <c r="S21" i="6"/>
  <c r="T21" i="9"/>
  <c r="S20" i="6"/>
  <c r="T19" i="7"/>
  <c r="T15" i="7"/>
  <c r="T12" i="9"/>
  <c r="T7" i="6"/>
  <c r="T20" i="9"/>
  <c r="T11" i="6"/>
  <c r="S8" i="6"/>
  <c r="S6" i="6"/>
  <c r="T5" i="7"/>
  <c r="L5" i="10"/>
  <c r="F11" i="11"/>
  <c r="S16" i="11"/>
  <c r="S20" i="11"/>
  <c r="Q12" i="10"/>
  <c r="M21" i="6"/>
  <c r="T18" i="7"/>
  <c r="R21" i="9"/>
  <c r="S16" i="6"/>
  <c r="I20" i="11"/>
  <c r="T13" i="11"/>
  <c r="R12" i="11"/>
  <c r="S10" i="10"/>
  <c r="T10" i="11"/>
  <c r="O21" i="6"/>
  <c r="S19" i="6"/>
  <c r="T15" i="6"/>
  <c r="T17" i="9"/>
  <c r="P21" i="9"/>
  <c r="T16" i="6"/>
  <c r="S4" i="9"/>
  <c r="T11" i="7"/>
  <c r="S9" i="6"/>
  <c r="H21" i="6"/>
  <c r="T8" i="7"/>
  <c r="T6" i="6"/>
  <c r="S5" i="9"/>
  <c r="T10" i="6"/>
  <c r="C4" i="9"/>
  <c r="H6" i="10"/>
  <c r="F9" i="11"/>
  <c r="C11" i="11"/>
  <c r="B12" i="18"/>
  <c r="H12" i="18" s="1"/>
  <c r="I12" i="10"/>
  <c r="D10" i="11"/>
  <c r="G4" i="10"/>
  <c r="J4" i="10"/>
  <c r="T14" i="9"/>
  <c r="T12" i="7"/>
  <c r="T8" i="9"/>
  <c r="T5" i="6"/>
  <c r="T13" i="7"/>
  <c r="E11" i="10"/>
  <c r="G12" i="11"/>
  <c r="L8" i="1"/>
  <c r="L26" i="1" s="1"/>
  <c r="N17" i="1"/>
  <c r="N35" i="1" s="1"/>
  <c r="L5" i="1"/>
  <c r="L23" i="1" s="1"/>
  <c r="K17" i="1"/>
  <c r="K35" i="1" s="1"/>
  <c r="J17" i="1"/>
  <c r="J35" i="1" s="1"/>
  <c r="O17" i="1"/>
  <c r="O35" i="1" s="1"/>
  <c r="M11" i="1"/>
  <c r="M29" i="1" s="1"/>
  <c r="T14" i="7"/>
  <c r="T20" i="7"/>
  <c r="T19" i="6"/>
  <c r="Q21" i="6"/>
  <c r="T11" i="10"/>
  <c r="S13" i="11"/>
  <c r="T14" i="11"/>
  <c r="R11" i="11"/>
  <c r="Q12" i="11"/>
  <c r="O20" i="11"/>
  <c r="J18" i="11"/>
  <c r="F14" i="11"/>
  <c r="Q6" i="11"/>
  <c r="O20" i="10"/>
  <c r="T8" i="10"/>
  <c r="Q21" i="11"/>
  <c r="R21" i="11"/>
  <c r="I21" i="10"/>
  <c r="Q21" i="10"/>
  <c r="R19" i="10"/>
  <c r="M20" i="10"/>
  <c r="T4" i="11"/>
  <c r="T18" i="10"/>
  <c r="S14" i="10"/>
  <c r="L21" i="11"/>
  <c r="N21" i="11"/>
  <c r="L21" i="10"/>
  <c r="F21" i="10"/>
  <c r="M20" i="11"/>
  <c r="I21" i="11"/>
  <c r="D21" i="11"/>
  <c r="R20" i="11"/>
  <c r="P21" i="11"/>
  <c r="T7" i="11"/>
  <c r="G21" i="10"/>
  <c r="S21" i="10"/>
  <c r="E22" i="7"/>
  <c r="U10" i="7"/>
  <c r="J22" i="7"/>
  <c r="P22" i="7"/>
  <c r="P22" i="9"/>
  <c r="Q22" i="7"/>
  <c r="R22" i="7"/>
  <c r="U6" i="7"/>
  <c r="I22" i="10"/>
  <c r="U10" i="6"/>
  <c r="U10" i="9"/>
  <c r="U10" i="10"/>
  <c r="I22" i="11"/>
  <c r="I22" i="6"/>
  <c r="I22" i="9"/>
  <c r="U13" i="10"/>
  <c r="L22" i="9"/>
  <c r="U9" i="7"/>
  <c r="H22" i="7"/>
  <c r="I22" i="7"/>
  <c r="U12" i="7"/>
  <c r="U17" i="7"/>
  <c r="U14" i="11"/>
  <c r="U8" i="6"/>
  <c r="U8" i="7"/>
  <c r="O22" i="9"/>
  <c r="B23" i="21"/>
  <c r="B23" i="18"/>
  <c r="U5" i="10"/>
  <c r="U9" i="10"/>
  <c r="U9" i="11"/>
  <c r="U4" i="10"/>
  <c r="U20" i="10"/>
  <c r="Q22" i="10"/>
  <c r="N22" i="10"/>
  <c r="R22" i="10"/>
  <c r="U16" i="11"/>
  <c r="U18" i="11"/>
  <c r="U20" i="11"/>
  <c r="U19" i="10"/>
  <c r="U21" i="10"/>
  <c r="U15" i="11"/>
  <c r="U6" i="10"/>
  <c r="C22" i="10"/>
  <c r="O22" i="10"/>
  <c r="H22" i="10"/>
  <c r="U4" i="11"/>
  <c r="U6" i="11"/>
  <c r="H22" i="11"/>
  <c r="T22" i="11"/>
  <c r="R22" i="11"/>
  <c r="C22" i="11"/>
  <c r="O22" i="11"/>
  <c r="U13" i="11"/>
  <c r="U12" i="11"/>
  <c r="U4" i="6"/>
  <c r="U21" i="6"/>
  <c r="U15" i="6"/>
  <c r="U4" i="7"/>
  <c r="U15" i="9"/>
  <c r="T22" i="6"/>
  <c r="M22" i="6"/>
  <c r="U22" i="6"/>
  <c r="U18" i="6"/>
  <c r="N22" i="11"/>
  <c r="E22" i="11"/>
  <c r="Q22" i="11"/>
  <c r="U11" i="11"/>
  <c r="U10" i="11"/>
  <c r="U18" i="7"/>
  <c r="U19" i="9"/>
  <c r="S22" i="6"/>
  <c r="U18" i="9"/>
  <c r="Q22" i="9"/>
  <c r="U12" i="6"/>
  <c r="J22" i="6"/>
  <c r="U8" i="9"/>
  <c r="U6" i="9"/>
  <c r="U5" i="7"/>
  <c r="U16" i="9"/>
  <c r="K22" i="6"/>
  <c r="U11" i="9"/>
  <c r="U9" i="6"/>
  <c r="U7" i="9"/>
  <c r="U5" i="9"/>
  <c r="D22" i="6"/>
  <c r="C22" i="6"/>
  <c r="U7" i="10"/>
  <c r="U5" i="11"/>
  <c r="U14" i="10"/>
  <c r="U16" i="10"/>
  <c r="E22" i="10"/>
  <c r="U22" i="10"/>
  <c r="F22" i="10"/>
  <c r="T22" i="10"/>
  <c r="J22" i="10"/>
  <c r="U15" i="10"/>
  <c r="U21" i="11"/>
  <c r="U8" i="10"/>
  <c r="U18" i="10"/>
  <c r="G22" i="10"/>
  <c r="S22" i="10"/>
  <c r="D22" i="10"/>
  <c r="K22" i="10"/>
  <c r="D22" i="11"/>
  <c r="P22" i="11"/>
  <c r="F22" i="11"/>
  <c r="G22" i="11"/>
  <c r="S22" i="11"/>
  <c r="K22" i="11"/>
  <c r="U12" i="10"/>
  <c r="U11" i="10"/>
  <c r="U19" i="6"/>
  <c r="T22" i="7"/>
  <c r="Q22" i="6"/>
  <c r="U20" i="6"/>
  <c r="M22" i="11"/>
  <c r="U22" i="11"/>
  <c r="J22" i="11"/>
  <c r="U22" i="7"/>
  <c r="U16" i="7"/>
  <c r="U21" i="9"/>
  <c r="N22" i="6"/>
  <c r="O22" i="6"/>
  <c r="U16" i="6"/>
  <c r="U20" i="9"/>
  <c r="U22" i="9"/>
  <c r="R22" i="9"/>
  <c r="U11" i="6"/>
  <c r="U7" i="6"/>
  <c r="F22" i="6"/>
  <c r="U6" i="6"/>
  <c r="E22" i="6"/>
  <c r="U5" i="6"/>
  <c r="U13" i="6"/>
  <c r="U4" i="9"/>
  <c r="S22" i="9"/>
  <c r="T22" i="9"/>
  <c r="U12" i="9"/>
  <c r="H22" i="6"/>
  <c r="U9" i="9"/>
  <c r="U13" i="9"/>
  <c r="D22" i="9"/>
  <c r="U7" i="11"/>
  <c r="C22" i="7"/>
  <c r="U19" i="11"/>
  <c r="U21" i="7"/>
  <c r="H22" i="9"/>
  <c r="K22" i="9"/>
  <c r="E22" i="9"/>
  <c r="F22" i="7"/>
  <c r="L22" i="7"/>
  <c r="L22" i="11"/>
  <c r="U13" i="7"/>
  <c r="G22" i="9"/>
  <c r="C22" i="9"/>
  <c r="U8" i="11"/>
  <c r="U14" i="6"/>
  <c r="D22" i="7"/>
  <c r="U20" i="7"/>
  <c r="N22" i="9"/>
  <c r="F22" i="9"/>
  <c r="J22" i="9"/>
  <c r="S22" i="7"/>
  <c r="U11" i="7"/>
  <c r="M22" i="7"/>
  <c r="N22" i="7"/>
  <c r="O22" i="7"/>
  <c r="U17" i="11"/>
  <c r="P22" i="10"/>
  <c r="U17" i="6"/>
  <c r="U17" i="9"/>
  <c r="U17" i="10"/>
  <c r="P22" i="6"/>
  <c r="L22" i="10"/>
  <c r="L22" i="6"/>
  <c r="U14" i="7"/>
  <c r="U7" i="7"/>
  <c r="G22" i="7"/>
  <c r="K22" i="7"/>
  <c r="U15" i="7"/>
  <c r="R22" i="6"/>
  <c r="M22" i="9"/>
  <c r="M22" i="10"/>
  <c r="U14" i="9"/>
  <c r="G22" i="6"/>
  <c r="K11" i="1"/>
  <c r="K29" i="1" s="1"/>
  <c r="P11" i="1"/>
  <c r="P29" i="1" s="1"/>
  <c r="R6" i="11"/>
  <c r="R13" i="10"/>
  <c r="D16" i="10"/>
  <c r="J19" i="11"/>
  <c r="R9" i="10"/>
  <c r="R4" i="10"/>
  <c r="K19" i="11"/>
  <c r="J18" i="10"/>
  <c r="M16" i="11"/>
  <c r="H4" i="7"/>
  <c r="C6" i="6"/>
  <c r="C10" i="11"/>
  <c r="I10" i="10"/>
  <c r="I9" i="11"/>
  <c r="L4" i="11"/>
  <c r="D13" i="11"/>
  <c r="E5" i="11"/>
  <c r="J7" i="10"/>
  <c r="E13" i="10"/>
  <c r="F4" i="10"/>
  <c r="O4" i="6"/>
  <c r="D5" i="9"/>
  <c r="I5" i="9"/>
  <c r="C4" i="10"/>
  <c r="D4" i="7"/>
  <c r="I4" i="11"/>
  <c r="H10" i="11"/>
  <c r="I10" i="11"/>
  <c r="B11" i="18"/>
  <c r="J11" i="18" s="1"/>
  <c r="I6" i="11"/>
  <c r="I5" i="11"/>
  <c r="B7" i="18"/>
  <c r="C7" i="18" s="1"/>
  <c r="G11" i="11"/>
  <c r="L13" i="11"/>
  <c r="J9" i="11"/>
  <c r="J12" i="10"/>
  <c r="F5" i="10"/>
  <c r="E9" i="10"/>
  <c r="G4" i="9"/>
  <c r="J4" i="6"/>
  <c r="I4" i="10"/>
  <c r="I11" i="10"/>
  <c r="H11" i="11"/>
  <c r="D6" i="10"/>
  <c r="H4" i="10"/>
  <c r="B5" i="18"/>
  <c r="C5" i="18" s="1"/>
  <c r="H4" i="6"/>
  <c r="D4" i="11"/>
  <c r="G10" i="11"/>
  <c r="K10" i="10"/>
  <c r="F10" i="10"/>
  <c r="I13" i="11"/>
  <c r="I12" i="11"/>
  <c r="B14" i="18"/>
  <c r="F14" i="18" s="1"/>
  <c r="C13" i="11"/>
  <c r="C8" i="11"/>
  <c r="L11" i="11"/>
  <c r="J7" i="11"/>
  <c r="J9" i="10"/>
  <c r="F5" i="11"/>
  <c r="K6" i="10"/>
  <c r="L5" i="9"/>
  <c r="R11" i="10"/>
  <c r="R12" i="10"/>
  <c r="Q11" i="10"/>
  <c r="R13" i="11"/>
  <c r="P18" i="11"/>
  <c r="R14" i="11"/>
  <c r="E7" i="11"/>
  <c r="D7" i="11"/>
  <c r="D9" i="10"/>
  <c r="B8" i="21"/>
  <c r="D8" i="21" s="1"/>
  <c r="G5" i="9"/>
  <c r="D18" i="11"/>
  <c r="I18" i="10"/>
  <c r="P9" i="11"/>
  <c r="K15" i="10"/>
  <c r="R5" i="10"/>
  <c r="R4" i="11"/>
  <c r="F19" i="11"/>
  <c r="E19" i="10"/>
  <c r="G16" i="10"/>
  <c r="E18" i="11"/>
  <c r="Q17" i="11"/>
  <c r="P18" i="10"/>
  <c r="Q4" i="11"/>
  <c r="H18" i="11"/>
  <c r="C18" i="11"/>
  <c r="Q13" i="10"/>
  <c r="N13" i="11"/>
  <c r="Q10" i="10"/>
  <c r="L18" i="11"/>
  <c r="M12" i="11"/>
  <c r="N11" i="11"/>
  <c r="P10" i="11"/>
  <c r="H5" i="9"/>
  <c r="G9" i="10"/>
  <c r="F6" i="11"/>
  <c r="H7" i="10"/>
  <c r="J11" i="10"/>
  <c r="C5" i="11"/>
  <c r="J8" i="11"/>
  <c r="L12" i="11"/>
  <c r="E9" i="11"/>
  <c r="Q8" i="11"/>
  <c r="G18" i="11"/>
  <c r="P12" i="11"/>
  <c r="P10" i="10"/>
  <c r="O10" i="11"/>
  <c r="Q13" i="11"/>
  <c r="M4" i="7"/>
  <c r="K4" i="7"/>
  <c r="K8" i="10"/>
  <c r="K13" i="10"/>
  <c r="L6" i="11"/>
  <c r="D8" i="10"/>
  <c r="F12" i="10"/>
  <c r="K5" i="11"/>
  <c r="H8" i="11"/>
  <c r="D11" i="11"/>
  <c r="J12" i="11"/>
  <c r="C7" i="11"/>
  <c r="C9" i="11"/>
  <c r="C12" i="11"/>
  <c r="K13" i="11"/>
  <c r="B6" i="18"/>
  <c r="J6" i="18" s="1"/>
  <c r="B13" i="18"/>
  <c r="E13" i="18" s="1"/>
  <c r="I7" i="11"/>
  <c r="I8" i="10"/>
  <c r="I8" i="11"/>
  <c r="I7" i="10"/>
  <c r="E10" i="10"/>
  <c r="F10" i="11"/>
  <c r="C10" i="10"/>
  <c r="H10" i="10"/>
  <c r="L10" i="11"/>
  <c r="B5" i="21"/>
  <c r="F5" i="21" s="1"/>
  <c r="L4" i="6"/>
  <c r="E4" i="10"/>
  <c r="I4" i="9"/>
  <c r="I4" i="6"/>
  <c r="C5" i="9"/>
  <c r="J4" i="9"/>
  <c r="C7" i="6"/>
  <c r="G4" i="7"/>
  <c r="L4" i="7"/>
  <c r="E6" i="10"/>
  <c r="B14" i="21"/>
  <c r="K14" i="21" s="1"/>
  <c r="F9" i="10"/>
  <c r="F7" i="11"/>
  <c r="G7" i="11"/>
  <c r="B10" i="18"/>
  <c r="G10" i="18" s="1"/>
  <c r="I9" i="10"/>
  <c r="L10" i="10"/>
  <c r="H4" i="11"/>
  <c r="F4" i="7"/>
  <c r="N4" i="7"/>
  <c r="K5" i="9"/>
  <c r="D4" i="10"/>
  <c r="E7" i="10"/>
  <c r="E12" i="10"/>
  <c r="J5" i="11"/>
  <c r="L6" i="10"/>
  <c r="D11" i="10"/>
  <c r="B7" i="21"/>
  <c r="E7" i="21" s="1"/>
  <c r="D8" i="11"/>
  <c r="J14" i="11"/>
  <c r="O14" i="11"/>
  <c r="E13" i="11"/>
  <c r="E11" i="11"/>
  <c r="E8" i="11"/>
  <c r="J13" i="11"/>
  <c r="D12" i="11"/>
  <c r="H9" i="11"/>
  <c r="L7" i="11"/>
  <c r="C6" i="11"/>
  <c r="K4" i="10"/>
  <c r="H12" i="10"/>
  <c r="L9" i="10"/>
  <c r="F8" i="10"/>
  <c r="J6" i="10"/>
  <c r="D5" i="10"/>
  <c r="H5" i="11"/>
  <c r="G12" i="10"/>
  <c r="G7" i="10"/>
  <c r="C4" i="11"/>
  <c r="M5" i="9"/>
  <c r="N10" i="11"/>
  <c r="M11" i="10"/>
  <c r="O16" i="11"/>
  <c r="O6" i="10"/>
  <c r="M6" i="11"/>
  <c r="M4" i="11"/>
  <c r="N18" i="10"/>
  <c r="M15" i="10"/>
  <c r="J14" i="10"/>
  <c r="E16" i="11"/>
  <c r="D16" i="11"/>
  <c r="N17" i="10"/>
  <c r="O5" i="11"/>
  <c r="K15" i="11"/>
  <c r="E14" i="10"/>
  <c r="E17" i="10"/>
  <c r="P5" i="11"/>
  <c r="J15" i="11"/>
  <c r="N4" i="10"/>
  <c r="M8" i="11"/>
  <c r="G14" i="11"/>
  <c r="L14" i="11"/>
  <c r="H16" i="11"/>
  <c r="M12" i="10"/>
  <c r="N8" i="11"/>
  <c r="M10" i="10"/>
  <c r="O10" i="10"/>
  <c r="O4" i="9"/>
  <c r="N4" i="6"/>
  <c r="G4" i="6"/>
  <c r="F5" i="9"/>
  <c r="E5" i="9"/>
  <c r="G6" i="10"/>
  <c r="G8" i="10"/>
  <c r="G11" i="10"/>
  <c r="G13" i="10"/>
  <c r="D5" i="11"/>
  <c r="L5" i="11"/>
  <c r="J6" i="11"/>
  <c r="H5" i="10"/>
  <c r="F6" i="10"/>
  <c r="D7" i="10"/>
  <c r="L7" i="10"/>
  <c r="J8" i="10"/>
  <c r="H9" i="10"/>
  <c r="F11" i="10"/>
  <c r="D12" i="10"/>
  <c r="L12" i="10"/>
  <c r="J13" i="10"/>
  <c r="B9" i="21"/>
  <c r="H9" i="21" s="1"/>
  <c r="G5" i="11"/>
  <c r="G6" i="11"/>
  <c r="H7" i="11"/>
  <c r="F8" i="11"/>
  <c r="D9" i="11"/>
  <c r="L9" i="11"/>
  <c r="J11" i="11"/>
  <c r="H12" i="11"/>
  <c r="F13" i="11"/>
  <c r="K4" i="11"/>
  <c r="K7" i="11"/>
  <c r="K8" i="11"/>
  <c r="K9" i="11"/>
  <c r="K11" i="11"/>
  <c r="K12" i="11"/>
  <c r="F16" i="11"/>
  <c r="K16" i="11"/>
  <c r="P13" i="10"/>
  <c r="N13" i="10"/>
  <c r="O12" i="10"/>
  <c r="O12" i="11"/>
  <c r="O11" i="10"/>
  <c r="P11" i="11"/>
  <c r="M4" i="9"/>
  <c r="F4" i="9"/>
  <c r="C4" i="7"/>
  <c r="E4" i="11"/>
  <c r="K5" i="10"/>
  <c r="K7" i="10"/>
  <c r="K9" i="10"/>
  <c r="K12" i="10"/>
  <c r="B10" i="21"/>
  <c r="F10" i="21" s="1"/>
  <c r="D6" i="11"/>
  <c r="J5" i="10"/>
  <c r="F7" i="10"/>
  <c r="L8" i="10"/>
  <c r="H11" i="10"/>
  <c r="D13" i="10"/>
  <c r="B13" i="21"/>
  <c r="K13" i="21" s="1"/>
  <c r="K6" i="11"/>
  <c r="E20" i="10"/>
  <c r="B12" i="21"/>
  <c r="C12" i="21" s="1"/>
  <c r="L4" i="10"/>
  <c r="C13" i="10"/>
  <c r="C12" i="10"/>
  <c r="C11" i="10"/>
  <c r="C9" i="10"/>
  <c r="C8" i="10"/>
  <c r="C7" i="10"/>
  <c r="C6" i="10"/>
  <c r="C5" i="10"/>
  <c r="K4" i="9"/>
  <c r="J4" i="7"/>
  <c r="F4" i="6"/>
  <c r="L4" i="9"/>
  <c r="E4" i="7"/>
  <c r="C4" i="6"/>
  <c r="M4" i="6"/>
  <c r="O5" i="9"/>
  <c r="N5" i="9"/>
  <c r="S13" i="6"/>
  <c r="S11" i="6"/>
  <c r="S12" i="6"/>
  <c r="S10" i="6"/>
  <c r="S14" i="6"/>
  <c r="S17" i="6"/>
  <c r="Q10" i="11"/>
  <c r="R10" i="10"/>
  <c r="M11" i="11"/>
  <c r="N11" i="10"/>
  <c r="N12" i="11"/>
  <c r="N12" i="10"/>
  <c r="P13" i="11"/>
  <c r="O13" i="10"/>
  <c r="S11" i="11"/>
  <c r="M13" i="10"/>
  <c r="P20" i="11"/>
  <c r="S18" i="11"/>
  <c r="G16" i="11"/>
  <c r="C14" i="11"/>
  <c r="S10" i="11"/>
  <c r="O11" i="11"/>
  <c r="P11" i="10"/>
  <c r="P12" i="10"/>
  <c r="M13" i="11"/>
  <c r="J20" i="11"/>
  <c r="C20" i="11"/>
  <c r="H20" i="11"/>
  <c r="O18" i="11"/>
  <c r="J16" i="11"/>
  <c r="R16" i="11"/>
  <c r="C16" i="11"/>
  <c r="H14" i="11"/>
  <c r="S14" i="11"/>
  <c r="N6" i="11"/>
  <c r="P4" i="11"/>
  <c r="L20" i="10"/>
  <c r="H20" i="10"/>
  <c r="C20" i="10"/>
  <c r="M18" i="10"/>
  <c r="L16" i="10"/>
  <c r="C16" i="10"/>
  <c r="O14" i="10"/>
  <c r="P6" i="10"/>
  <c r="N19" i="11"/>
  <c r="R17" i="11"/>
  <c r="Q15" i="11"/>
  <c r="S9" i="11"/>
  <c r="S5" i="11"/>
  <c r="M19" i="10"/>
  <c r="R17" i="10"/>
  <c r="F15" i="10"/>
  <c r="R7" i="10"/>
  <c r="L20" i="11"/>
  <c r="L16" i="11"/>
  <c r="Q14" i="11"/>
  <c r="J20" i="10"/>
  <c r="R18" i="10"/>
  <c r="O8" i="10"/>
  <c r="P20" i="10"/>
  <c r="K18" i="10"/>
  <c r="I16" i="10"/>
  <c r="H16" i="10"/>
  <c r="P14" i="10"/>
  <c r="P8" i="10"/>
  <c r="Q4" i="10"/>
  <c r="E19" i="11"/>
  <c r="M17" i="11"/>
  <c r="N15" i="11"/>
  <c r="N7" i="11"/>
  <c r="N19" i="10"/>
  <c r="Q17" i="10"/>
  <c r="N15" i="10"/>
  <c r="Q18" i="11"/>
  <c r="O6" i="11"/>
  <c r="F18" i="10"/>
  <c r="S9" i="10"/>
  <c r="S5" i="10"/>
  <c r="N18" i="11"/>
  <c r="M14" i="11"/>
  <c r="S4" i="11"/>
  <c r="B17" i="18"/>
  <c r="C17" i="18" s="1"/>
  <c r="R16" i="10"/>
  <c r="Q18" i="10"/>
  <c r="N20" i="10"/>
  <c r="S6" i="11"/>
  <c r="P8" i="11"/>
  <c r="D14" i="11"/>
  <c r="P16" i="11"/>
  <c r="K18" i="11"/>
  <c r="Q20" i="11"/>
  <c r="N5" i="10"/>
  <c r="N7" i="10"/>
  <c r="N9" i="10"/>
  <c r="G19" i="11"/>
  <c r="N14" i="10"/>
  <c r="N16" i="10"/>
  <c r="E18" i="10"/>
  <c r="F20" i="10"/>
  <c r="E14" i="11"/>
  <c r="F18" i="11"/>
  <c r="N20" i="11"/>
  <c r="Q15" i="10"/>
  <c r="I15" i="10"/>
  <c r="S17" i="10"/>
  <c r="L17" i="10"/>
  <c r="Q19" i="10"/>
  <c r="I19" i="10"/>
  <c r="S7" i="11"/>
  <c r="P7" i="11"/>
  <c r="M15" i="11"/>
  <c r="D15" i="11"/>
  <c r="N17" i="11"/>
  <c r="L17" i="11"/>
  <c r="R19" i="11"/>
  <c r="Q19" i="11"/>
  <c r="S4" i="10"/>
  <c r="Q6" i="10"/>
  <c r="M8" i="10"/>
  <c r="G14" i="10"/>
  <c r="D14" i="10"/>
  <c r="K14" i="10"/>
  <c r="S16" i="10"/>
  <c r="H18" i="10"/>
  <c r="C18" i="10"/>
  <c r="G20" i="10"/>
  <c r="D20" i="10"/>
  <c r="I20" i="10"/>
  <c r="R6" i="10"/>
  <c r="R8" i="10"/>
  <c r="J16" i="10"/>
  <c r="G18" i="10"/>
  <c r="R20" i="10"/>
  <c r="O4" i="11"/>
  <c r="O8" i="11"/>
  <c r="P14" i="11"/>
  <c r="Q16" i="11"/>
  <c r="R18" i="11"/>
  <c r="I18" i="11"/>
  <c r="O5" i="10"/>
  <c r="O7" i="10"/>
  <c r="O9" i="10"/>
  <c r="E15" i="10"/>
  <c r="R15" i="10"/>
  <c r="F17" i="10"/>
  <c r="G17" i="10"/>
  <c r="I17" i="10"/>
  <c r="F19" i="10"/>
  <c r="K19" i="10"/>
  <c r="N5" i="11"/>
  <c r="O7" i="11"/>
  <c r="N9" i="11"/>
  <c r="E15" i="11"/>
  <c r="P15" i="11"/>
  <c r="F17" i="11"/>
  <c r="E17" i="11"/>
  <c r="J17" i="11"/>
  <c r="M19" i="11"/>
  <c r="M6" i="10"/>
  <c r="Q8" i="10"/>
  <c r="C14" i="10"/>
  <c r="H14" i="10"/>
  <c r="I14" i="10"/>
  <c r="O16" i="10"/>
  <c r="P16" i="10"/>
  <c r="D18" i="10"/>
  <c r="O18" i="10"/>
  <c r="L15" i="11"/>
  <c r="H17" i="10"/>
  <c r="Q5" i="11"/>
  <c r="P19" i="10"/>
  <c r="P19" i="11"/>
  <c r="B15" i="21"/>
  <c r="G15" i="21" s="1"/>
  <c r="H15" i="11"/>
  <c r="J15" i="10"/>
  <c r="M16" i="10"/>
  <c r="G17" i="11"/>
  <c r="S15" i="11"/>
  <c r="S19" i="10"/>
  <c r="S15" i="10"/>
  <c r="B18" i="18"/>
  <c r="H18" i="18" s="1"/>
  <c r="S17" i="11"/>
  <c r="Q9" i="11"/>
  <c r="C17" i="10"/>
  <c r="Q7" i="10"/>
  <c r="G15" i="10"/>
  <c r="B18" i="21"/>
  <c r="B20" i="21"/>
  <c r="K20" i="21" s="1"/>
  <c r="B20" i="18"/>
  <c r="C20" i="18" s="1"/>
  <c r="P5" i="10"/>
  <c r="P9" i="10"/>
  <c r="P15" i="10"/>
  <c r="T17" i="10"/>
  <c r="G19" i="10"/>
  <c r="J19" i="10"/>
  <c r="D21" i="10"/>
  <c r="Q7" i="11"/>
  <c r="G15" i="11"/>
  <c r="D17" i="11"/>
  <c r="I17" i="11"/>
  <c r="B19" i="18"/>
  <c r="J19" i="18" s="1"/>
  <c r="M5" i="10"/>
  <c r="M9" i="10"/>
  <c r="D15" i="10"/>
  <c r="J17" i="10"/>
  <c r="D19" i="10"/>
  <c r="P21" i="10"/>
  <c r="T5" i="11"/>
  <c r="T9" i="11"/>
  <c r="F15" i="11"/>
  <c r="P17" i="11"/>
  <c r="D19" i="11"/>
  <c r="L19" i="11"/>
  <c r="G21" i="11"/>
  <c r="Q14" i="10"/>
  <c r="F16" i="10"/>
  <c r="K16" i="10"/>
  <c r="S18" i="10"/>
  <c r="L18" i="10"/>
  <c r="Q20" i="10"/>
  <c r="K20" i="10"/>
  <c r="N4" i="11"/>
  <c r="P6" i="11"/>
  <c r="S8" i="11"/>
  <c r="R8" i="11"/>
  <c r="N14" i="11"/>
  <c r="I14" i="11"/>
  <c r="N16" i="11"/>
  <c r="I16" i="11"/>
  <c r="M18" i="11"/>
  <c r="F20" i="11"/>
  <c r="E20" i="11"/>
  <c r="B21" i="21"/>
  <c r="E16" i="10"/>
  <c r="R14" i="10"/>
  <c r="M14" i="10"/>
  <c r="S8" i="10"/>
  <c r="S6" i="10"/>
  <c r="O4" i="10"/>
  <c r="K21" i="11"/>
  <c r="C21" i="11"/>
  <c r="H21" i="11"/>
  <c r="O19" i="11"/>
  <c r="T19" i="11"/>
  <c r="K17" i="11"/>
  <c r="C17" i="11"/>
  <c r="H17" i="11"/>
  <c r="T15" i="11"/>
  <c r="O15" i="11"/>
  <c r="R9" i="11"/>
  <c r="R7" i="11"/>
  <c r="R5" i="11"/>
  <c r="K21" i="10"/>
  <c r="H21" i="10"/>
  <c r="C21" i="10"/>
  <c r="T19" i="10"/>
  <c r="O19" i="10"/>
  <c r="K17" i="10"/>
  <c r="O17" i="10"/>
  <c r="D17" i="10"/>
  <c r="T15" i="10"/>
  <c r="O15" i="10"/>
  <c r="T9" i="10"/>
  <c r="P7" i="10"/>
  <c r="T5" i="10"/>
  <c r="C21" i="6"/>
  <c r="B22" i="18"/>
  <c r="B16" i="18"/>
  <c r="B22" i="21"/>
  <c r="J6" i="7"/>
  <c r="R6" i="7"/>
  <c r="H7" i="7"/>
  <c r="P7" i="7"/>
  <c r="J8" i="7"/>
  <c r="R8" i="7"/>
  <c r="H9" i="7"/>
  <c r="P9" i="7"/>
  <c r="J10" i="7"/>
  <c r="R10" i="7"/>
  <c r="H11" i="7"/>
  <c r="P11" i="7"/>
  <c r="J12" i="7"/>
  <c r="R12" i="7"/>
  <c r="H13" i="7"/>
  <c r="M13" i="7"/>
  <c r="Q13" i="7"/>
  <c r="F14" i="7"/>
  <c r="J14" i="7"/>
  <c r="N14" i="7"/>
  <c r="R14" i="7"/>
  <c r="E15" i="7"/>
  <c r="I15" i="7"/>
  <c r="M15" i="7"/>
  <c r="Q15" i="7"/>
  <c r="F16" i="7"/>
  <c r="J16" i="7"/>
  <c r="N16" i="7"/>
  <c r="R16" i="7"/>
  <c r="E17" i="7"/>
  <c r="I17" i="7"/>
  <c r="M17" i="7"/>
  <c r="Q17" i="7"/>
  <c r="F18" i="7"/>
  <c r="Q16" i="10"/>
  <c r="L14" i="10"/>
  <c r="F14" i="10"/>
  <c r="N8" i="10"/>
  <c r="N6" i="10"/>
  <c r="M4" i="10"/>
  <c r="P4" i="10"/>
  <c r="O21" i="11"/>
  <c r="T21" i="11"/>
  <c r="I19" i="11"/>
  <c r="C19" i="11"/>
  <c r="H19" i="11"/>
  <c r="O17" i="11"/>
  <c r="T17" i="11"/>
  <c r="I15" i="11"/>
  <c r="R15" i="11"/>
  <c r="C15" i="11"/>
  <c r="M9" i="11"/>
  <c r="M7" i="11"/>
  <c r="M5" i="11"/>
  <c r="T21" i="10"/>
  <c r="O21" i="10"/>
  <c r="L19" i="10"/>
  <c r="H19" i="10"/>
  <c r="C19" i="10"/>
  <c r="M17" i="10"/>
  <c r="P17" i="10"/>
  <c r="L15" i="10"/>
  <c r="H15" i="10"/>
  <c r="C15" i="10"/>
  <c r="Q9" i="10"/>
  <c r="M7" i="10"/>
  <c r="Q5" i="10"/>
  <c r="B21" i="18"/>
  <c r="B15" i="18"/>
  <c r="B17" i="21"/>
  <c r="B19" i="21"/>
  <c r="F6" i="7"/>
  <c r="N6" i="7"/>
  <c r="D7" i="7"/>
  <c r="L7" i="7"/>
  <c r="F8" i="7"/>
  <c r="N8" i="7"/>
  <c r="D9" i="7"/>
  <c r="L9" i="7"/>
  <c r="F10" i="7"/>
  <c r="N10" i="7"/>
  <c r="D11" i="7"/>
  <c r="L11" i="7"/>
  <c r="F12" i="7"/>
  <c r="N12" i="7"/>
  <c r="D13" i="7"/>
  <c r="K13" i="7"/>
  <c r="O13" i="7"/>
  <c r="D14" i="7"/>
  <c r="H14" i="7"/>
  <c r="L14" i="7"/>
  <c r="P14" i="7"/>
  <c r="C15" i="7"/>
  <c r="G15" i="7"/>
  <c r="K15" i="7"/>
  <c r="O15" i="7"/>
  <c r="D16" i="7"/>
  <c r="H16" i="7"/>
  <c r="L16" i="7"/>
  <c r="P16" i="7"/>
  <c r="C17" i="7"/>
  <c r="G17" i="7"/>
  <c r="K17" i="7"/>
  <c r="O17" i="7"/>
  <c r="D18" i="7"/>
  <c r="H18" i="7"/>
  <c r="L18" i="7"/>
  <c r="P18" i="7"/>
  <c r="C19" i="7"/>
  <c r="G19" i="7"/>
  <c r="K19" i="7"/>
  <c r="J18" i="7"/>
  <c r="R18" i="7"/>
  <c r="I19" i="7"/>
  <c r="O19" i="7"/>
  <c r="D6" i="7"/>
  <c r="L6" i="7"/>
  <c r="F7" i="7"/>
  <c r="N7" i="7"/>
  <c r="D8" i="7"/>
  <c r="L8" i="7"/>
  <c r="F9" i="7"/>
  <c r="N9" i="7"/>
  <c r="D10" i="7"/>
  <c r="L10" i="7"/>
  <c r="F11" i="7"/>
  <c r="N11" i="7"/>
  <c r="D12" i="7"/>
  <c r="L12" i="7"/>
  <c r="F13" i="7"/>
  <c r="L13" i="7"/>
  <c r="P13" i="7"/>
  <c r="C14" i="7"/>
  <c r="G14" i="7"/>
  <c r="K14" i="7"/>
  <c r="O14" i="7"/>
  <c r="D15" i="7"/>
  <c r="H15" i="7"/>
  <c r="L15" i="7"/>
  <c r="P15" i="7"/>
  <c r="C16" i="7"/>
  <c r="G16" i="7"/>
  <c r="K16" i="7"/>
  <c r="O16" i="7"/>
  <c r="D17" i="7"/>
  <c r="H17" i="7"/>
  <c r="L17" i="7"/>
  <c r="P17" i="7"/>
  <c r="C18" i="7"/>
  <c r="G18" i="7"/>
  <c r="K18" i="7"/>
  <c r="O18" i="7"/>
  <c r="D19" i="7"/>
  <c r="H19" i="7"/>
  <c r="L19" i="7"/>
  <c r="P19" i="7"/>
  <c r="F20" i="7"/>
  <c r="D20" i="7"/>
  <c r="N20" i="7"/>
  <c r="D21" i="7"/>
  <c r="H21" i="7"/>
  <c r="L21" i="7"/>
  <c r="P21" i="7"/>
  <c r="R4" i="7"/>
  <c r="P7" i="9"/>
  <c r="Q8" i="9"/>
  <c r="S9" i="9"/>
  <c r="R10" i="9"/>
  <c r="R11" i="9"/>
  <c r="Q13" i="9"/>
  <c r="P14" i="9"/>
  <c r="P15" i="9"/>
  <c r="Q16" i="9"/>
  <c r="S17" i="9"/>
  <c r="R18" i="9"/>
  <c r="S19" i="9"/>
  <c r="R5" i="9"/>
  <c r="P4" i="9"/>
  <c r="D6" i="9"/>
  <c r="F6" i="9"/>
  <c r="H6" i="9"/>
  <c r="J6" i="9"/>
  <c r="L6" i="9"/>
  <c r="N6" i="9"/>
  <c r="D7" i="9"/>
  <c r="H7" i="9"/>
  <c r="L7" i="9"/>
  <c r="C8" i="9"/>
  <c r="G8" i="9"/>
  <c r="K8" i="9"/>
  <c r="O8" i="9"/>
  <c r="F9" i="9"/>
  <c r="J9" i="9"/>
  <c r="N9" i="9"/>
  <c r="E10" i="9"/>
  <c r="I10" i="9"/>
  <c r="N18" i="7"/>
  <c r="E19" i="7"/>
  <c r="M19" i="7"/>
  <c r="Q19" i="7"/>
  <c r="H6" i="7"/>
  <c r="P6" i="7"/>
  <c r="J7" i="7"/>
  <c r="R7" i="7"/>
  <c r="H8" i="7"/>
  <c r="P8" i="7"/>
  <c r="J9" i="7"/>
  <c r="R9" i="7"/>
  <c r="H10" i="7"/>
  <c r="P10" i="7"/>
  <c r="J11" i="7"/>
  <c r="R11" i="7"/>
  <c r="H12" i="7"/>
  <c r="P12" i="7"/>
  <c r="J13" i="7"/>
  <c r="N13" i="7"/>
  <c r="R13" i="7"/>
  <c r="E14" i="7"/>
  <c r="I14" i="7"/>
  <c r="M14" i="7"/>
  <c r="Q14" i="7"/>
  <c r="F15" i="7"/>
  <c r="J15" i="7"/>
  <c r="N15" i="7"/>
  <c r="R15" i="7"/>
  <c r="E16" i="7"/>
  <c r="I16" i="7"/>
  <c r="M16" i="7"/>
  <c r="Q16" i="7"/>
  <c r="F17" i="7"/>
  <c r="J17" i="7"/>
  <c r="N17" i="7"/>
  <c r="R17" i="7"/>
  <c r="E18" i="7"/>
  <c r="I18" i="7"/>
  <c r="M18" i="7"/>
  <c r="Q18" i="7"/>
  <c r="F19" i="7"/>
  <c r="J19" i="7"/>
  <c r="N19" i="7"/>
  <c r="R19" i="7"/>
  <c r="S19" i="7"/>
  <c r="J20" i="7"/>
  <c r="R20" i="7"/>
  <c r="F21" i="7"/>
  <c r="J21" i="7"/>
  <c r="N21" i="7"/>
  <c r="R21" i="7"/>
  <c r="P4" i="7"/>
  <c r="R7" i="9"/>
  <c r="Q9" i="9"/>
  <c r="P10" i="9"/>
  <c r="P11" i="9"/>
  <c r="Q12" i="9"/>
  <c r="S13" i="9"/>
  <c r="R14" i="9"/>
  <c r="R15" i="9"/>
  <c r="Q17" i="9"/>
  <c r="P18" i="9"/>
  <c r="Q19" i="9"/>
  <c r="S20" i="9"/>
  <c r="Q4" i="9"/>
  <c r="C6" i="9"/>
  <c r="E6" i="9"/>
  <c r="G6" i="9"/>
  <c r="I6" i="9"/>
  <c r="K6" i="9"/>
  <c r="M6" i="9"/>
  <c r="O6" i="9"/>
  <c r="F7" i="9"/>
  <c r="J7" i="9"/>
  <c r="N7" i="9"/>
  <c r="E8" i="9"/>
  <c r="I8" i="9"/>
  <c r="M8" i="9"/>
  <c r="D9" i="9"/>
  <c r="H9" i="9"/>
  <c r="L9" i="9"/>
  <c r="C10" i="9"/>
  <c r="G10" i="9"/>
  <c r="K10" i="9"/>
  <c r="O10" i="9"/>
  <c r="F11" i="9"/>
  <c r="H20" i="7"/>
  <c r="P20" i="7"/>
  <c r="M10" i="9"/>
  <c r="H11" i="9"/>
  <c r="S4" i="7"/>
  <c r="P6" i="9"/>
  <c r="R6" i="9"/>
  <c r="S7" i="9"/>
  <c r="R8" i="9"/>
  <c r="R9" i="9"/>
  <c r="Q11" i="9"/>
  <c r="P12" i="9"/>
  <c r="P13" i="9"/>
  <c r="Q14" i="9"/>
  <c r="S15" i="9"/>
  <c r="R16" i="9"/>
  <c r="R17" i="9"/>
  <c r="S18" i="9"/>
  <c r="R19" i="9"/>
  <c r="R4" i="9"/>
  <c r="C7" i="9"/>
  <c r="G7" i="9"/>
  <c r="K7" i="9"/>
  <c r="O7" i="9"/>
  <c r="F8" i="9"/>
  <c r="J8" i="9"/>
  <c r="N8" i="9"/>
  <c r="E9" i="9"/>
  <c r="I9" i="9"/>
  <c r="M9" i="9"/>
  <c r="D10" i="9"/>
  <c r="H10" i="9"/>
  <c r="L10" i="9"/>
  <c r="C11" i="9"/>
  <c r="G11" i="9"/>
  <c r="K11" i="9"/>
  <c r="J11" i="9"/>
  <c r="C12" i="9"/>
  <c r="G12" i="9"/>
  <c r="K12" i="9"/>
  <c r="O12" i="9"/>
  <c r="F13" i="9"/>
  <c r="J13" i="9"/>
  <c r="N13" i="9"/>
  <c r="E14" i="9"/>
  <c r="I14" i="9"/>
  <c r="M14" i="9"/>
  <c r="D15" i="9"/>
  <c r="H15" i="9"/>
  <c r="L15" i="9"/>
  <c r="C16" i="9"/>
  <c r="G16" i="9"/>
  <c r="K16" i="9"/>
  <c r="O16" i="9"/>
  <c r="F17" i="9"/>
  <c r="J17" i="9"/>
  <c r="N17" i="9"/>
  <c r="E18" i="9"/>
  <c r="I18" i="9"/>
  <c r="M18" i="9"/>
  <c r="D19" i="9"/>
  <c r="H19" i="9"/>
  <c r="L19" i="9"/>
  <c r="C20" i="9"/>
  <c r="I20" i="9"/>
  <c r="M20" i="9"/>
  <c r="C21" i="9"/>
  <c r="G21" i="9"/>
  <c r="K21" i="9"/>
  <c r="O21" i="9"/>
  <c r="Q7" i="6"/>
  <c r="Q9" i="6"/>
  <c r="Q11" i="6"/>
  <c r="Q13" i="6"/>
  <c r="Q15" i="6"/>
  <c r="Q17" i="6"/>
  <c r="Q19" i="6"/>
  <c r="H6" i="6"/>
  <c r="L6" i="6"/>
  <c r="H7" i="6"/>
  <c r="L7" i="6"/>
  <c r="H8" i="6"/>
  <c r="L8" i="6"/>
  <c r="H9" i="6"/>
  <c r="L9" i="6"/>
  <c r="H10" i="6"/>
  <c r="L10" i="6"/>
  <c r="H11" i="6"/>
  <c r="L11" i="6"/>
  <c r="H12" i="6"/>
  <c r="L12" i="6"/>
  <c r="H13" i="6"/>
  <c r="L13" i="6"/>
  <c r="H14" i="6"/>
  <c r="L14" i="6"/>
  <c r="H15" i="6"/>
  <c r="L15" i="6"/>
  <c r="H16" i="6"/>
  <c r="L16" i="6"/>
  <c r="H17" i="6"/>
  <c r="L17" i="6"/>
  <c r="H18" i="6"/>
  <c r="L18" i="6"/>
  <c r="H19" i="6"/>
  <c r="L19" i="6"/>
  <c r="H20" i="6"/>
  <c r="G6" i="6"/>
  <c r="G10" i="6"/>
  <c r="O11" i="9"/>
  <c r="F12" i="9"/>
  <c r="J12" i="9"/>
  <c r="N12" i="9"/>
  <c r="E13" i="9"/>
  <c r="I13" i="9"/>
  <c r="M13" i="9"/>
  <c r="D14" i="9"/>
  <c r="H14" i="9"/>
  <c r="L14" i="9"/>
  <c r="C15" i="9"/>
  <c r="G15" i="9"/>
  <c r="K15" i="9"/>
  <c r="O15" i="9"/>
  <c r="F16" i="9"/>
  <c r="J16" i="9"/>
  <c r="N16" i="9"/>
  <c r="E17" i="9"/>
  <c r="I17" i="9"/>
  <c r="M17" i="9"/>
  <c r="D18" i="9"/>
  <c r="H18" i="9"/>
  <c r="L18" i="9"/>
  <c r="C19" i="9"/>
  <c r="G19" i="9"/>
  <c r="K19" i="9"/>
  <c r="O19" i="9"/>
  <c r="H20" i="9"/>
  <c r="L20" i="9"/>
  <c r="D21" i="9"/>
  <c r="H21" i="9"/>
  <c r="L21" i="9"/>
  <c r="P5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4" i="6"/>
  <c r="H5" i="6"/>
  <c r="J5" i="6"/>
  <c r="L5" i="6"/>
  <c r="N5" i="6"/>
  <c r="I6" i="6"/>
  <c r="M6" i="6"/>
  <c r="I7" i="6"/>
  <c r="M7" i="6"/>
  <c r="I8" i="6"/>
  <c r="M8" i="6"/>
  <c r="I9" i="6"/>
  <c r="M9" i="6"/>
  <c r="I10" i="6"/>
  <c r="M10" i="6"/>
  <c r="I11" i="6"/>
  <c r="D11" i="9"/>
  <c r="L20" i="7"/>
  <c r="Q4" i="7"/>
  <c r="Q6" i="9"/>
  <c r="Q7" i="9"/>
  <c r="P8" i="9"/>
  <c r="P9" i="9"/>
  <c r="Q10" i="9"/>
  <c r="S11" i="9"/>
  <c r="R12" i="9"/>
  <c r="R13" i="9"/>
  <c r="Q15" i="9"/>
  <c r="P16" i="9"/>
  <c r="P17" i="9"/>
  <c r="Q18" i="9"/>
  <c r="P19" i="9"/>
  <c r="Q5" i="9"/>
  <c r="P5" i="9"/>
  <c r="E7" i="9"/>
  <c r="I7" i="9"/>
  <c r="M7" i="9"/>
  <c r="D8" i="9"/>
  <c r="H8" i="9"/>
  <c r="L8" i="9"/>
  <c r="C9" i="9"/>
  <c r="G9" i="9"/>
  <c r="K9" i="9"/>
  <c r="O9" i="9"/>
  <c r="F10" i="9"/>
  <c r="J10" i="9"/>
  <c r="N10" i="9"/>
  <c r="E11" i="9"/>
  <c r="I11" i="9"/>
  <c r="M11" i="9"/>
  <c r="N11" i="9"/>
  <c r="E12" i="9"/>
  <c r="I12" i="9"/>
  <c r="M12" i="9"/>
  <c r="D13" i="9"/>
  <c r="H13" i="9"/>
  <c r="L13" i="9"/>
  <c r="C14" i="9"/>
  <c r="G14" i="9"/>
  <c r="K14" i="9"/>
  <c r="O14" i="9"/>
  <c r="F15" i="9"/>
  <c r="J15" i="9"/>
  <c r="N15" i="9"/>
  <c r="E16" i="9"/>
  <c r="I16" i="9"/>
  <c r="M16" i="9"/>
  <c r="D17" i="9"/>
  <c r="H17" i="9"/>
  <c r="L17" i="9"/>
  <c r="C18" i="9"/>
  <c r="G18" i="9"/>
  <c r="K18" i="9"/>
  <c r="O18" i="9"/>
  <c r="F19" i="9"/>
  <c r="J19" i="9"/>
  <c r="N19" i="9"/>
  <c r="G20" i="9"/>
  <c r="K20" i="9"/>
  <c r="O20" i="9"/>
  <c r="E21" i="9"/>
  <c r="I21" i="9"/>
  <c r="M21" i="9"/>
  <c r="Q6" i="6"/>
  <c r="Q8" i="6"/>
  <c r="Q10" i="6"/>
  <c r="Q12" i="6"/>
  <c r="Q14" i="6"/>
  <c r="Q16" i="6"/>
  <c r="Q18" i="6"/>
  <c r="Q4" i="6"/>
  <c r="J6" i="6"/>
  <c r="N6" i="6"/>
  <c r="J7" i="6"/>
  <c r="N7" i="6"/>
  <c r="J8" i="6"/>
  <c r="N8" i="6"/>
  <c r="J9" i="6"/>
  <c r="N9" i="6"/>
  <c r="J10" i="6"/>
  <c r="N10" i="6"/>
  <c r="J11" i="6"/>
  <c r="N11" i="6"/>
  <c r="J12" i="6"/>
  <c r="N12" i="6"/>
  <c r="J13" i="6"/>
  <c r="N13" i="6"/>
  <c r="J14" i="6"/>
  <c r="N14" i="6"/>
  <c r="J15" i="6"/>
  <c r="N15" i="6"/>
  <c r="J16" i="6"/>
  <c r="N16" i="6"/>
  <c r="J17" i="6"/>
  <c r="N17" i="6"/>
  <c r="J18" i="6"/>
  <c r="N18" i="6"/>
  <c r="J19" i="6"/>
  <c r="N19" i="6"/>
  <c r="L20" i="6"/>
  <c r="G8" i="6"/>
  <c r="L11" i="9"/>
  <c r="D12" i="9"/>
  <c r="H12" i="9"/>
  <c r="L12" i="9"/>
  <c r="C13" i="9"/>
  <c r="G13" i="9"/>
  <c r="K13" i="9"/>
  <c r="O13" i="9"/>
  <c r="F14" i="9"/>
  <c r="J14" i="9"/>
  <c r="N14" i="9"/>
  <c r="E15" i="9"/>
  <c r="I15" i="9"/>
  <c r="M15" i="9"/>
  <c r="D16" i="9"/>
  <c r="H16" i="9"/>
  <c r="L16" i="9"/>
  <c r="C17" i="9"/>
  <c r="G17" i="9"/>
  <c r="K17" i="9"/>
  <c r="O17" i="9"/>
  <c r="F18" i="9"/>
  <c r="J18" i="9"/>
  <c r="N18" i="9"/>
  <c r="E19" i="9"/>
  <c r="I19" i="9"/>
  <c r="M19" i="9"/>
  <c r="E20" i="9"/>
  <c r="J20" i="9"/>
  <c r="N20" i="9"/>
  <c r="F21" i="9"/>
  <c r="J21" i="9"/>
  <c r="N21" i="9"/>
  <c r="Q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Q20" i="6"/>
  <c r="P4" i="6"/>
  <c r="I5" i="6"/>
  <c r="K5" i="6"/>
  <c r="M5" i="6"/>
  <c r="O5" i="6"/>
  <c r="K6" i="6"/>
  <c r="O6" i="6"/>
  <c r="K7" i="6"/>
  <c r="O7" i="6"/>
  <c r="K8" i="6"/>
  <c r="O8" i="6"/>
  <c r="K9" i="6"/>
  <c r="O9" i="6"/>
  <c r="K10" i="6"/>
  <c r="O10" i="6"/>
  <c r="K11" i="6"/>
  <c r="M11" i="6"/>
  <c r="I12" i="6"/>
  <c r="M12" i="6"/>
  <c r="I13" i="6"/>
  <c r="M13" i="6"/>
  <c r="I14" i="6"/>
  <c r="M14" i="6"/>
  <c r="I15" i="6"/>
  <c r="M15" i="6"/>
  <c r="I16" i="6"/>
  <c r="M16" i="6"/>
  <c r="I17" i="6"/>
  <c r="M17" i="6"/>
  <c r="I18" i="6"/>
  <c r="M18" i="6"/>
  <c r="I19" i="6"/>
  <c r="M19" i="6"/>
  <c r="J20" i="6"/>
  <c r="G5" i="6"/>
  <c r="G9" i="6"/>
  <c r="G13" i="6"/>
  <c r="C17" i="6"/>
  <c r="C13" i="6"/>
  <c r="C9" i="6"/>
  <c r="D17" i="6"/>
  <c r="D13" i="6"/>
  <c r="D9" i="6"/>
  <c r="D5" i="6"/>
  <c r="E18" i="6"/>
  <c r="E14" i="6"/>
  <c r="E10" i="6"/>
  <c r="E6" i="6"/>
  <c r="F17" i="6"/>
  <c r="F13" i="6"/>
  <c r="F9" i="6"/>
  <c r="F5" i="6"/>
  <c r="G18" i="6"/>
  <c r="G14" i="6"/>
  <c r="C18" i="6"/>
  <c r="C14" i="6"/>
  <c r="C10" i="6"/>
  <c r="D20" i="6"/>
  <c r="D16" i="6"/>
  <c r="D12" i="6"/>
  <c r="D8" i="6"/>
  <c r="E19" i="6"/>
  <c r="E15" i="6"/>
  <c r="E11" i="6"/>
  <c r="E7" i="6"/>
  <c r="F20" i="6"/>
  <c r="F16" i="6"/>
  <c r="F12" i="6"/>
  <c r="F8" i="6"/>
  <c r="G19" i="6"/>
  <c r="G15" i="6"/>
  <c r="P20" i="6"/>
  <c r="P20" i="9"/>
  <c r="Q21" i="7"/>
  <c r="M21" i="7"/>
  <c r="I21" i="7"/>
  <c r="E21" i="7"/>
  <c r="C20" i="7"/>
  <c r="S5" i="7"/>
  <c r="S7" i="7"/>
  <c r="S9" i="7"/>
  <c r="S11" i="7"/>
  <c r="O20" i="6"/>
  <c r="K20" i="6"/>
  <c r="R20" i="6"/>
  <c r="D20" i="9"/>
  <c r="S20" i="7"/>
  <c r="O20" i="7"/>
  <c r="K20" i="7"/>
  <c r="G20" i="7"/>
  <c r="S18" i="7"/>
  <c r="S16" i="7"/>
  <c r="S14" i="7"/>
  <c r="D5" i="7"/>
  <c r="F5" i="7"/>
  <c r="H5" i="7"/>
  <c r="J5" i="7"/>
  <c r="L5" i="7"/>
  <c r="N5" i="7"/>
  <c r="P5" i="7"/>
  <c r="R5" i="7"/>
  <c r="E6" i="7"/>
  <c r="I6" i="7"/>
  <c r="M6" i="7"/>
  <c r="Q6" i="7"/>
  <c r="E7" i="7"/>
  <c r="I7" i="7"/>
  <c r="M7" i="7"/>
  <c r="Q7" i="7"/>
  <c r="E8" i="7"/>
  <c r="I8" i="7"/>
  <c r="M8" i="7"/>
  <c r="Q8" i="7"/>
  <c r="E9" i="7"/>
  <c r="I9" i="7"/>
  <c r="M9" i="7"/>
  <c r="Q9" i="7"/>
  <c r="E10" i="7"/>
  <c r="I10" i="7"/>
  <c r="M10" i="7"/>
  <c r="Q10" i="7"/>
  <c r="E11" i="7"/>
  <c r="I11" i="7"/>
  <c r="M11" i="7"/>
  <c r="Q11" i="7"/>
  <c r="E12" i="7"/>
  <c r="I12" i="7"/>
  <c r="M12" i="7"/>
  <c r="Q12" i="7"/>
  <c r="E13" i="7"/>
  <c r="I13" i="7"/>
  <c r="S16" i="9"/>
  <c r="S12" i="9"/>
  <c r="S8" i="9"/>
  <c r="S14" i="9"/>
  <c r="S10" i="9"/>
  <c r="O11" i="6"/>
  <c r="K12" i="6"/>
  <c r="O12" i="6"/>
  <c r="K13" i="6"/>
  <c r="O13" i="6"/>
  <c r="K14" i="6"/>
  <c r="O14" i="6"/>
  <c r="K15" i="6"/>
  <c r="O15" i="6"/>
  <c r="K16" i="6"/>
  <c r="O16" i="6"/>
  <c r="K17" i="6"/>
  <c r="O17" i="6"/>
  <c r="K18" i="6"/>
  <c r="O18" i="6"/>
  <c r="K19" i="6"/>
  <c r="O19" i="6"/>
  <c r="N20" i="6"/>
  <c r="G7" i="6"/>
  <c r="G11" i="6"/>
  <c r="C19" i="6"/>
  <c r="C15" i="6"/>
  <c r="C11" i="6"/>
  <c r="D19" i="6"/>
  <c r="D15" i="6"/>
  <c r="D11" i="6"/>
  <c r="D7" i="6"/>
  <c r="E20" i="6"/>
  <c r="E16" i="6"/>
  <c r="E12" i="6"/>
  <c r="E8" i="6"/>
  <c r="F19" i="6"/>
  <c r="F15" i="6"/>
  <c r="F11" i="6"/>
  <c r="F7" i="6"/>
  <c r="G20" i="6"/>
  <c r="G16" i="6"/>
  <c r="C20" i="6"/>
  <c r="C16" i="6"/>
  <c r="C12" i="6"/>
  <c r="C8" i="6"/>
  <c r="D18" i="6"/>
  <c r="D14" i="6"/>
  <c r="D10" i="6"/>
  <c r="D6" i="6"/>
  <c r="E17" i="6"/>
  <c r="E13" i="6"/>
  <c r="E9" i="6"/>
  <c r="E5" i="6"/>
  <c r="F18" i="6"/>
  <c r="F14" i="6"/>
  <c r="F10" i="6"/>
  <c r="F6" i="6"/>
  <c r="G17" i="6"/>
  <c r="G12" i="6"/>
  <c r="C21" i="7"/>
  <c r="S21" i="7"/>
  <c r="O21" i="7"/>
  <c r="K21" i="7"/>
  <c r="G21" i="7"/>
  <c r="S6" i="9"/>
  <c r="Q20" i="9"/>
  <c r="S6" i="7"/>
  <c r="S8" i="7"/>
  <c r="S10" i="7"/>
  <c r="S12" i="7"/>
  <c r="M20" i="6"/>
  <c r="I20" i="6"/>
  <c r="F20" i="9"/>
  <c r="R20" i="9"/>
  <c r="Q20" i="7"/>
  <c r="M20" i="7"/>
  <c r="I20" i="7"/>
  <c r="E20" i="7"/>
  <c r="S17" i="7"/>
  <c r="S15" i="7"/>
  <c r="S13" i="7"/>
  <c r="C5" i="7"/>
  <c r="E5" i="7"/>
  <c r="G5" i="7"/>
  <c r="I5" i="7"/>
  <c r="K5" i="7"/>
  <c r="M5" i="7"/>
  <c r="O5" i="7"/>
  <c r="Q5" i="7"/>
  <c r="C6" i="7"/>
  <c r="G6" i="7"/>
  <c r="K6" i="7"/>
  <c r="O6" i="7"/>
  <c r="C7" i="7"/>
  <c r="G7" i="7"/>
  <c r="K7" i="7"/>
  <c r="O7" i="7"/>
  <c r="C8" i="7"/>
  <c r="G8" i="7"/>
  <c r="K8" i="7"/>
  <c r="O8" i="7"/>
  <c r="C9" i="7"/>
  <c r="G9" i="7"/>
  <c r="K9" i="7"/>
  <c r="O9" i="7"/>
  <c r="C10" i="7"/>
  <c r="G10" i="7"/>
  <c r="K10" i="7"/>
  <c r="O10" i="7"/>
  <c r="C11" i="7"/>
  <c r="G11" i="7"/>
  <c r="K11" i="7"/>
  <c r="O11" i="7"/>
  <c r="C12" i="7"/>
  <c r="G12" i="7"/>
  <c r="K12" i="7"/>
  <c r="O12" i="7"/>
  <c r="C13" i="7"/>
  <c r="G13" i="7"/>
  <c r="W20" i="19" l="1"/>
  <c r="W47" i="19" s="1"/>
  <c r="AI20" i="19" s="1"/>
  <c r="U16" i="19"/>
  <c r="AQ16" i="19" s="1"/>
  <c r="AQ43" i="19" s="1"/>
  <c r="Q16" i="19"/>
  <c r="S16" i="19"/>
  <c r="W16" i="19"/>
  <c r="F2" i="1"/>
  <c r="T12" i="1" s="1"/>
  <c r="T4" i="1"/>
  <c r="F41" i="18"/>
  <c r="K34" i="18"/>
  <c r="G34" i="21"/>
  <c r="E32" i="18"/>
  <c r="G32" i="21"/>
  <c r="I49" i="21"/>
  <c r="C37" i="18"/>
  <c r="J37" i="21"/>
  <c r="F49" i="21"/>
  <c r="H49" i="21"/>
  <c r="D49" i="21"/>
  <c r="G49" i="21"/>
  <c r="K49" i="21"/>
  <c r="E49" i="21"/>
  <c r="C49" i="21"/>
  <c r="J28" i="21"/>
  <c r="K28" i="21"/>
  <c r="H24" i="19"/>
  <c r="H51" i="19" s="1"/>
  <c r="C35" i="18"/>
  <c r="E39" i="18"/>
  <c r="J35" i="21"/>
  <c r="O35" i="21"/>
  <c r="Z35" i="21" s="1"/>
  <c r="H33" i="21"/>
  <c r="E45" i="21"/>
  <c r="F45" i="21"/>
  <c r="J45" i="21"/>
  <c r="J10" i="19"/>
  <c r="J37" i="19" s="1"/>
  <c r="N16" i="19"/>
  <c r="N43" i="19" s="1"/>
  <c r="J8" i="19"/>
  <c r="J35" i="19" s="1"/>
  <c r="K45" i="21"/>
  <c r="I45" i="21"/>
  <c r="G45" i="21"/>
  <c r="I47" i="18"/>
  <c r="F47" i="18"/>
  <c r="C47" i="18"/>
  <c r="N47" i="18" s="1"/>
  <c r="D47" i="18"/>
  <c r="G47" i="18"/>
  <c r="K47" i="18"/>
  <c r="E47" i="18"/>
  <c r="J47" i="18"/>
  <c r="H47" i="18"/>
  <c r="J48" i="21"/>
  <c r="H48" i="21"/>
  <c r="F48" i="21"/>
  <c r="D48" i="21"/>
  <c r="G48" i="21"/>
  <c r="C48" i="21"/>
  <c r="K48" i="21"/>
  <c r="E48" i="21"/>
  <c r="I48" i="21"/>
  <c r="I46" i="18"/>
  <c r="H46" i="18"/>
  <c r="K46" i="18"/>
  <c r="C46" i="18"/>
  <c r="N46" i="18" s="1"/>
  <c r="E46" i="18"/>
  <c r="G46" i="18"/>
  <c r="D46" i="18"/>
  <c r="F46" i="18"/>
  <c r="J46" i="18"/>
  <c r="C45" i="21"/>
  <c r="N45" i="21" s="1"/>
  <c r="H45" i="21"/>
  <c r="D47" i="21"/>
  <c r="K47" i="21"/>
  <c r="E47" i="21"/>
  <c r="G47" i="21"/>
  <c r="J47" i="21"/>
  <c r="C47" i="21"/>
  <c r="N47" i="21" s="1"/>
  <c r="I47" i="21"/>
  <c r="F47" i="21"/>
  <c r="H47" i="21"/>
  <c r="I49" i="18"/>
  <c r="D49" i="18"/>
  <c r="E49" i="18"/>
  <c r="C49" i="18"/>
  <c r="H49" i="18"/>
  <c r="F49" i="18"/>
  <c r="K49" i="18"/>
  <c r="J49" i="18"/>
  <c r="G49" i="18"/>
  <c r="G46" i="21"/>
  <c r="J46" i="21"/>
  <c r="E46" i="21"/>
  <c r="K46" i="21"/>
  <c r="H46" i="21"/>
  <c r="F46" i="21"/>
  <c r="I46" i="21"/>
  <c r="C46" i="21"/>
  <c r="N46" i="21" s="1"/>
  <c r="D46" i="21"/>
  <c r="J48" i="18"/>
  <c r="E48" i="18"/>
  <c r="G48" i="18"/>
  <c r="C48" i="18"/>
  <c r="K48" i="18"/>
  <c r="F48" i="18"/>
  <c r="I48" i="18"/>
  <c r="H48" i="18"/>
  <c r="D48" i="18"/>
  <c r="L25" i="19"/>
  <c r="L52" i="19" s="1"/>
  <c r="H6" i="19"/>
  <c r="H33" i="19" s="1"/>
  <c r="N13" i="19"/>
  <c r="N40" i="19" s="1"/>
  <c r="J22" i="19"/>
  <c r="J49" i="19" s="1"/>
  <c r="J23" i="19"/>
  <c r="J50" i="19" s="1"/>
  <c r="H14" i="19"/>
  <c r="H41" i="19" s="1"/>
  <c r="L8" i="19"/>
  <c r="J25" i="19"/>
  <c r="J52" i="19" s="1"/>
  <c r="K43" i="21"/>
  <c r="E43" i="21"/>
  <c r="L10" i="19"/>
  <c r="L37" i="19" s="1"/>
  <c r="J12" i="19"/>
  <c r="J39" i="19" s="1"/>
  <c r="L4" i="19"/>
  <c r="N12" i="19"/>
  <c r="L22" i="19"/>
  <c r="L11" i="19"/>
  <c r="L38" i="19" s="1"/>
  <c r="L24" i="19"/>
  <c r="L51" i="19" s="1"/>
  <c r="N23" i="19"/>
  <c r="L19" i="19"/>
  <c r="L14" i="19"/>
  <c r="L41" i="19" s="1"/>
  <c r="H35" i="21"/>
  <c r="J43" i="21"/>
  <c r="E37" i="21"/>
  <c r="F43" i="21"/>
  <c r="C44" i="18"/>
  <c r="N44" i="18" s="1"/>
  <c r="G44" i="18"/>
  <c r="R44" i="21" s="1"/>
  <c r="C43" i="21"/>
  <c r="N43" i="21" s="1"/>
  <c r="Y43" i="21" s="1"/>
  <c r="K44" i="18"/>
  <c r="V44" i="18" s="1"/>
  <c r="F44" i="18"/>
  <c r="Q44" i="18" s="1"/>
  <c r="H44" i="18"/>
  <c r="S44" i="21" s="1"/>
  <c r="I44" i="18"/>
  <c r="T44" i="18" s="1"/>
  <c r="D44" i="18"/>
  <c r="O44" i="21" s="1"/>
  <c r="G43" i="21"/>
  <c r="E44" i="18"/>
  <c r="P44" i="18" s="1"/>
  <c r="E45" i="18"/>
  <c r="I45" i="18"/>
  <c r="D45" i="18"/>
  <c r="H45" i="18"/>
  <c r="C45" i="18"/>
  <c r="N45" i="18" s="1"/>
  <c r="F45" i="18"/>
  <c r="J45" i="18"/>
  <c r="K45" i="18"/>
  <c r="G45" i="18"/>
  <c r="H43" i="18"/>
  <c r="J43" i="18"/>
  <c r="K43" i="18"/>
  <c r="G43" i="18"/>
  <c r="V44" i="21"/>
  <c r="J7" i="19"/>
  <c r="J34" i="19" s="1"/>
  <c r="N19" i="19"/>
  <c r="N46" i="19" s="1"/>
  <c r="J21" i="19"/>
  <c r="J48" i="19" s="1"/>
  <c r="H19" i="19"/>
  <c r="H46" i="19" s="1"/>
  <c r="L23" i="19"/>
  <c r="N21" i="19"/>
  <c r="H16" i="19"/>
  <c r="H43" i="19" s="1"/>
  <c r="L3" i="19"/>
  <c r="L30" i="19" s="1"/>
  <c r="N22" i="19"/>
  <c r="N17" i="19"/>
  <c r="N44" i="19" s="1"/>
  <c r="N10" i="19"/>
  <c r="L20" i="19"/>
  <c r="L47" i="19" s="1"/>
  <c r="N24" i="19"/>
  <c r="H11" i="19"/>
  <c r="H38" i="19" s="1"/>
  <c r="N6" i="19"/>
  <c r="D41" i="18"/>
  <c r="F43" i="18"/>
  <c r="Q43" i="18" s="1"/>
  <c r="D44" i="21"/>
  <c r="I44" i="21"/>
  <c r="G44" i="21"/>
  <c r="E44" i="21"/>
  <c r="J44" i="21"/>
  <c r="K44" i="21"/>
  <c r="C44" i="21"/>
  <c r="N44" i="21" s="1"/>
  <c r="F44" i="21"/>
  <c r="H44" i="21"/>
  <c r="U44" i="18"/>
  <c r="U44" i="21"/>
  <c r="J16" i="19"/>
  <c r="J43" i="19" s="1"/>
  <c r="L16" i="19"/>
  <c r="L43" i="19" s="1"/>
  <c r="N20" i="19"/>
  <c r="N47" i="19" s="1"/>
  <c r="J3" i="19"/>
  <c r="J30" i="19" s="1"/>
  <c r="N7" i="19"/>
  <c r="N34" i="19" s="1"/>
  <c r="L21" i="19"/>
  <c r="L48" i="19" s="1"/>
  <c r="H7" i="19"/>
  <c r="H34" i="19" s="1"/>
  <c r="L18" i="19"/>
  <c r="L45" i="19" s="1"/>
  <c r="L7" i="19"/>
  <c r="L34" i="19" s="1"/>
  <c r="H17" i="19"/>
  <c r="H44" i="19" s="1"/>
  <c r="L6" i="19"/>
  <c r="L33" i="19" s="1"/>
  <c r="H10" i="19"/>
  <c r="H37" i="19" s="1"/>
  <c r="N9" i="19"/>
  <c r="J19" i="19"/>
  <c r="J46" i="19" s="1"/>
  <c r="L13" i="19"/>
  <c r="N11" i="19"/>
  <c r="H13" i="19"/>
  <c r="H40" i="19" s="1"/>
  <c r="H15" i="19"/>
  <c r="H42" i="19" s="1"/>
  <c r="H5" i="19"/>
  <c r="H32" i="19" s="1"/>
  <c r="J14" i="19"/>
  <c r="J41" i="19" s="1"/>
  <c r="J24" i="19"/>
  <c r="J51" i="19" s="1"/>
  <c r="L15" i="19"/>
  <c r="H21" i="19"/>
  <c r="H48" i="19" s="1"/>
  <c r="H3" i="19"/>
  <c r="H30" i="19" s="1"/>
  <c r="D43" i="18"/>
  <c r="O43" i="18" s="1"/>
  <c r="I43" i="18"/>
  <c r="T43" i="21" s="1"/>
  <c r="AE43" i="21" s="1"/>
  <c r="L9" i="19"/>
  <c r="L36" i="19" s="1"/>
  <c r="H12" i="19"/>
  <c r="H39" i="19" s="1"/>
  <c r="N14" i="19"/>
  <c r="N41" i="19" s="1"/>
  <c r="J9" i="19"/>
  <c r="J36" i="19" s="1"/>
  <c r="H25" i="19"/>
  <c r="H52" i="19" s="1"/>
  <c r="J6" i="19"/>
  <c r="J33" i="19" s="1"/>
  <c r="N18" i="19"/>
  <c r="H23" i="19"/>
  <c r="H50" i="19" s="1"/>
  <c r="N25" i="19"/>
  <c r="N52" i="19" s="1"/>
  <c r="N4" i="19"/>
  <c r="L12" i="19"/>
  <c r="L39" i="19" s="1"/>
  <c r="H18" i="19"/>
  <c r="H45" i="19" s="1"/>
  <c r="L5" i="19"/>
  <c r="L32" i="19" s="1"/>
  <c r="J15" i="19"/>
  <c r="J42" i="19" s="1"/>
  <c r="H4" i="19"/>
  <c r="H31" i="19" s="1"/>
  <c r="J18" i="19"/>
  <c r="J45" i="19" s="1"/>
  <c r="H9" i="19"/>
  <c r="H36" i="19" s="1"/>
  <c r="N15" i="19"/>
  <c r="L17" i="19"/>
  <c r="N3" i="19"/>
  <c r="N30" i="19" s="1"/>
  <c r="J5" i="19"/>
  <c r="J32" i="19" s="1"/>
  <c r="J4" i="19"/>
  <c r="J31" i="19" s="1"/>
  <c r="N8" i="19"/>
  <c r="N5" i="19"/>
  <c r="J17" i="19"/>
  <c r="J44" i="19" s="1"/>
  <c r="J20" i="19"/>
  <c r="J47" i="19" s="1"/>
  <c r="J11" i="19"/>
  <c r="J38" i="19" s="1"/>
  <c r="H22" i="19"/>
  <c r="H49" i="19" s="1"/>
  <c r="J13" i="19"/>
  <c r="J40" i="19" s="1"/>
  <c r="H20" i="19"/>
  <c r="H47" i="19" s="1"/>
  <c r="D32" i="21"/>
  <c r="O32" i="21" s="1"/>
  <c r="Z32" i="21" s="1"/>
  <c r="H39" i="18"/>
  <c r="C43" i="18"/>
  <c r="N43" i="18" s="1"/>
  <c r="E43" i="18"/>
  <c r="P43" i="21" s="1"/>
  <c r="AA43" i="21" s="1"/>
  <c r="D43" i="21"/>
  <c r="I43" i="21"/>
  <c r="I37" i="18"/>
  <c r="E41" i="18"/>
  <c r="H37" i="18"/>
  <c r="D37" i="21"/>
  <c r="O37" i="21" s="1"/>
  <c r="Z37" i="21" s="1"/>
  <c r="I41" i="18"/>
  <c r="H41" i="18"/>
  <c r="F34" i="18"/>
  <c r="I37" i="21"/>
  <c r="K37" i="21"/>
  <c r="C41" i="18"/>
  <c r="K41" i="18"/>
  <c r="J42" i="21"/>
  <c r="H42" i="21"/>
  <c r="G42" i="21"/>
  <c r="D42" i="21"/>
  <c r="I42" i="21"/>
  <c r="F42" i="21"/>
  <c r="S42" i="21" s="1"/>
  <c r="AD42" i="21" s="1"/>
  <c r="C42" i="21"/>
  <c r="K42" i="21"/>
  <c r="E42" i="21"/>
  <c r="G41" i="18"/>
  <c r="T41" i="18" s="1"/>
  <c r="AE41" i="18" s="1"/>
  <c r="E34" i="18"/>
  <c r="F37" i="21"/>
  <c r="J41" i="18"/>
  <c r="I42" i="18"/>
  <c r="J42" i="18"/>
  <c r="H42" i="18"/>
  <c r="F42" i="18"/>
  <c r="K42" i="18"/>
  <c r="E42" i="18"/>
  <c r="G42" i="18"/>
  <c r="C42" i="18"/>
  <c r="D42" i="18"/>
  <c r="K35" i="21"/>
  <c r="G37" i="21"/>
  <c r="H37" i="21"/>
  <c r="C37" i="21"/>
  <c r="D39" i="18"/>
  <c r="O39" i="18" s="1"/>
  <c r="Z39" i="18" s="1"/>
  <c r="K41" i="21"/>
  <c r="H41" i="21"/>
  <c r="D41" i="21"/>
  <c r="F41" i="21"/>
  <c r="C41" i="21"/>
  <c r="J41" i="21"/>
  <c r="I41" i="21"/>
  <c r="G41" i="21"/>
  <c r="E41" i="21"/>
  <c r="K39" i="18"/>
  <c r="G39" i="18"/>
  <c r="I39" i="18"/>
  <c r="J39" i="18"/>
  <c r="I40" i="21"/>
  <c r="D40" i="21"/>
  <c r="H40" i="21"/>
  <c r="K40" i="21"/>
  <c r="G40" i="21"/>
  <c r="T40" i="21" s="1"/>
  <c r="AE40" i="21" s="1"/>
  <c r="E40" i="21"/>
  <c r="J40" i="21"/>
  <c r="F40" i="21"/>
  <c r="C40" i="21"/>
  <c r="D34" i="21"/>
  <c r="C39" i="18"/>
  <c r="F39" i="18"/>
  <c r="I40" i="18"/>
  <c r="F40" i="18"/>
  <c r="E40" i="18"/>
  <c r="C40" i="18"/>
  <c r="H40" i="18"/>
  <c r="J40" i="18"/>
  <c r="K40" i="18"/>
  <c r="G40" i="18"/>
  <c r="D40" i="18"/>
  <c r="H32" i="21"/>
  <c r="F35" i="18"/>
  <c r="C32" i="21"/>
  <c r="H39" i="21"/>
  <c r="J39" i="21"/>
  <c r="E39" i="21"/>
  <c r="K39" i="21"/>
  <c r="C39" i="21"/>
  <c r="G39" i="21"/>
  <c r="F39" i="21"/>
  <c r="I39" i="21"/>
  <c r="V39" i="21" s="1"/>
  <c r="AG39" i="21" s="1"/>
  <c r="D39" i="21"/>
  <c r="E38" i="21"/>
  <c r="H38" i="21"/>
  <c r="C38" i="21"/>
  <c r="J38" i="21"/>
  <c r="F38" i="21"/>
  <c r="I38" i="21"/>
  <c r="G38" i="21"/>
  <c r="D38" i="21"/>
  <c r="K38" i="21"/>
  <c r="D37" i="18"/>
  <c r="O37" i="18" s="1"/>
  <c r="Z37" i="18" s="1"/>
  <c r="E37" i="18"/>
  <c r="E32" i="21"/>
  <c r="C33" i="21"/>
  <c r="E33" i="21"/>
  <c r="I35" i="21"/>
  <c r="G35" i="21"/>
  <c r="J37" i="18"/>
  <c r="F37" i="18"/>
  <c r="G37" i="18"/>
  <c r="J33" i="21"/>
  <c r="G33" i="21"/>
  <c r="K37" i="18"/>
  <c r="J38" i="18"/>
  <c r="K38" i="18"/>
  <c r="F38" i="18"/>
  <c r="C38" i="18"/>
  <c r="G38" i="18"/>
  <c r="E38" i="18"/>
  <c r="I38" i="18"/>
  <c r="D38" i="18"/>
  <c r="H38" i="18"/>
  <c r="U38" i="18" s="1"/>
  <c r="AF38" i="18" s="1"/>
  <c r="D35" i="18"/>
  <c r="I32" i="21"/>
  <c r="J32" i="21"/>
  <c r="I33" i="21"/>
  <c r="F33" i="21"/>
  <c r="S33" i="21" s="1"/>
  <c r="AD33" i="21" s="1"/>
  <c r="E35" i="21"/>
  <c r="K32" i="21"/>
  <c r="F32" i="21"/>
  <c r="D33" i="21"/>
  <c r="Q33" i="21" s="1"/>
  <c r="AB33" i="21" s="1"/>
  <c r="K33" i="21"/>
  <c r="F35" i="21"/>
  <c r="Q35" i="21" s="1"/>
  <c r="AB35" i="21" s="1"/>
  <c r="C35" i="21"/>
  <c r="G36" i="21"/>
  <c r="J36" i="21"/>
  <c r="E36" i="21"/>
  <c r="H36" i="21"/>
  <c r="D36" i="21"/>
  <c r="K36" i="21"/>
  <c r="C36" i="21"/>
  <c r="F36" i="21"/>
  <c r="S36" i="21" s="1"/>
  <c r="AD36" i="21" s="1"/>
  <c r="I36" i="21"/>
  <c r="H34" i="18"/>
  <c r="I34" i="18"/>
  <c r="K34" i="21"/>
  <c r="C34" i="21"/>
  <c r="J34" i="21"/>
  <c r="K35" i="18"/>
  <c r="G35" i="18"/>
  <c r="I35" i="18"/>
  <c r="D34" i="18"/>
  <c r="C34" i="18"/>
  <c r="E35" i="18"/>
  <c r="R35" i="18" s="1"/>
  <c r="AC35" i="18" s="1"/>
  <c r="J35" i="18"/>
  <c r="J34" i="18"/>
  <c r="E34" i="21"/>
  <c r="F34" i="21"/>
  <c r="I34" i="21"/>
  <c r="G34" i="18"/>
  <c r="H34" i="21"/>
  <c r="H35" i="18"/>
  <c r="K36" i="18"/>
  <c r="D36" i="18"/>
  <c r="E36" i="18"/>
  <c r="C36" i="18"/>
  <c r="F36" i="18"/>
  <c r="J36" i="18"/>
  <c r="G36" i="18"/>
  <c r="H36" i="18"/>
  <c r="I36" i="18"/>
  <c r="V36" i="18" s="1"/>
  <c r="AG36" i="18" s="1"/>
  <c r="F32" i="18"/>
  <c r="K32" i="18"/>
  <c r="H32" i="18"/>
  <c r="G32" i="18"/>
  <c r="D26" i="21"/>
  <c r="O26" i="21" s="1"/>
  <c r="Z26" i="21" s="1"/>
  <c r="I28" i="21"/>
  <c r="H28" i="21"/>
  <c r="D32" i="18"/>
  <c r="C32" i="18"/>
  <c r="F33" i="18"/>
  <c r="E33" i="18"/>
  <c r="C33" i="18"/>
  <c r="H33" i="18"/>
  <c r="D33" i="18"/>
  <c r="Q33" i="18" s="1"/>
  <c r="AB33" i="18" s="1"/>
  <c r="K33" i="18"/>
  <c r="I33" i="18"/>
  <c r="J33" i="18"/>
  <c r="G33" i="18"/>
  <c r="C28" i="21"/>
  <c r="N28" i="21" s="1"/>
  <c r="Y28" i="21" s="1"/>
  <c r="G26" i="21"/>
  <c r="J32" i="18"/>
  <c r="I32" i="18"/>
  <c r="V32" i="18" s="1"/>
  <c r="AG32" i="18" s="1"/>
  <c r="G28" i="21"/>
  <c r="R28" i="21" s="1"/>
  <c r="AC28" i="21" s="1"/>
  <c r="D28" i="21"/>
  <c r="O28" i="21" s="1"/>
  <c r="Z28" i="21" s="1"/>
  <c r="F26" i="21"/>
  <c r="F28" i="21"/>
  <c r="I27" i="21"/>
  <c r="V27" i="21" s="1"/>
  <c r="AG27" i="21" s="1"/>
  <c r="H27" i="21"/>
  <c r="E26" i="21"/>
  <c r="J26" i="21"/>
  <c r="C26" i="21"/>
  <c r="N26" i="21" s="1"/>
  <c r="Y26" i="21" s="1"/>
  <c r="K26" i="21"/>
  <c r="V26" i="21" s="1"/>
  <c r="AG26" i="21" s="1"/>
  <c r="H26" i="21"/>
  <c r="W3" i="19"/>
  <c r="Q24" i="19"/>
  <c r="AM24" i="19" s="1"/>
  <c r="AM51" i="19" s="1"/>
  <c r="Q4" i="19"/>
  <c r="K6" i="21"/>
  <c r="S4" i="19"/>
  <c r="F9" i="18"/>
  <c r="W17" i="19"/>
  <c r="W44" i="19" s="1"/>
  <c r="AI17" i="19" s="1"/>
  <c r="Q43" i="19"/>
  <c r="Z16" i="19" s="1"/>
  <c r="Z43" i="19" s="1"/>
  <c r="Q25" i="19"/>
  <c r="Q52" i="19" s="1"/>
  <c r="Z25" i="19" s="1"/>
  <c r="Z52" i="19" s="1"/>
  <c r="G25" i="21"/>
  <c r="H25" i="21"/>
  <c r="F27" i="21"/>
  <c r="J27" i="21"/>
  <c r="I16" i="21"/>
  <c r="V16" i="21" s="1"/>
  <c r="AG16" i="21" s="1"/>
  <c r="K25" i="21"/>
  <c r="G27" i="21"/>
  <c r="D27" i="21"/>
  <c r="O27" i="21" s="1"/>
  <c r="Z27" i="21" s="1"/>
  <c r="C27" i="21"/>
  <c r="N27" i="21" s="1"/>
  <c r="Y27" i="21" s="1"/>
  <c r="E27" i="21"/>
  <c r="H30" i="6"/>
  <c r="V30" i="9"/>
  <c r="S30" i="9"/>
  <c r="O30" i="9"/>
  <c r="S30" i="6"/>
  <c r="F30" i="6"/>
  <c r="B31" i="18"/>
  <c r="F25" i="21"/>
  <c r="I25" i="21"/>
  <c r="E25" i="21"/>
  <c r="P25" i="21" s="1"/>
  <c r="AA25" i="21" s="1"/>
  <c r="K31" i="21"/>
  <c r="C31" i="21"/>
  <c r="G31" i="21"/>
  <c r="D31" i="21"/>
  <c r="F31" i="21"/>
  <c r="E31" i="21"/>
  <c r="H31" i="21"/>
  <c r="I31" i="21"/>
  <c r="J31" i="21"/>
  <c r="J30" i="18"/>
  <c r="E30" i="18"/>
  <c r="I30" i="18"/>
  <c r="D30" i="18"/>
  <c r="F30" i="18"/>
  <c r="H30" i="18"/>
  <c r="K30" i="18"/>
  <c r="G30" i="18"/>
  <c r="C30" i="18"/>
  <c r="F30" i="21"/>
  <c r="H30" i="21"/>
  <c r="E30" i="21"/>
  <c r="D30" i="21"/>
  <c r="G30" i="21"/>
  <c r="C30" i="21"/>
  <c r="I30" i="21"/>
  <c r="J30" i="21"/>
  <c r="K30" i="21"/>
  <c r="K29" i="21"/>
  <c r="C29" i="21"/>
  <c r="I29" i="21"/>
  <c r="G29" i="21"/>
  <c r="J29" i="21"/>
  <c r="E29" i="21"/>
  <c r="D29" i="21"/>
  <c r="O29" i="21" s="1"/>
  <c r="Z29" i="21" s="1"/>
  <c r="F29" i="21"/>
  <c r="H29" i="21"/>
  <c r="U29" i="21" s="1"/>
  <c r="AF29" i="21" s="1"/>
  <c r="H29" i="18"/>
  <c r="D29" i="18"/>
  <c r="E29" i="18"/>
  <c r="J29" i="18"/>
  <c r="I29" i="18"/>
  <c r="G29" i="18"/>
  <c r="F29" i="18"/>
  <c r="K29" i="18"/>
  <c r="C29" i="18"/>
  <c r="J25" i="21"/>
  <c r="D25" i="21"/>
  <c r="O25" i="21" s="1"/>
  <c r="Z25" i="21" s="1"/>
  <c r="H11" i="21"/>
  <c r="J9" i="18"/>
  <c r="K11" i="21"/>
  <c r="J6" i="21"/>
  <c r="F17" i="18"/>
  <c r="I9" i="18"/>
  <c r="T9" i="18" s="1"/>
  <c r="AE9" i="18" s="1"/>
  <c r="U10" i="19"/>
  <c r="U37" i="19" s="1"/>
  <c r="AF10" i="19" s="1"/>
  <c r="Q19" i="19"/>
  <c r="Q46" i="19" s="1"/>
  <c r="Z19" i="19" s="1"/>
  <c r="Z46" i="19" s="1"/>
  <c r="AS20" i="19"/>
  <c r="AS47" i="19" s="1"/>
  <c r="U11" i="19"/>
  <c r="U38" i="19" s="1"/>
  <c r="AF11" i="19" s="1"/>
  <c r="S20" i="19"/>
  <c r="U7" i="19"/>
  <c r="U34" i="19" s="1"/>
  <c r="AF7" i="19" s="1"/>
  <c r="U3" i="19"/>
  <c r="S18" i="19"/>
  <c r="W8" i="19"/>
  <c r="W35" i="19" s="1"/>
  <c r="AI8" i="19" s="1"/>
  <c r="S17" i="19"/>
  <c r="S7" i="19"/>
  <c r="S12" i="19"/>
  <c r="W15" i="19"/>
  <c r="W42" i="19" s="1"/>
  <c r="AI15" i="19" s="1"/>
  <c r="U23" i="19"/>
  <c r="U50" i="19" s="1"/>
  <c r="AF23" i="19" s="1"/>
  <c r="U19" i="19"/>
  <c r="U46" i="19" s="1"/>
  <c r="AF19" i="19" s="1"/>
  <c r="W22" i="19"/>
  <c r="W49" i="19" s="1"/>
  <c r="AI22" i="19" s="1"/>
  <c r="Q15" i="19"/>
  <c r="Q42" i="19" s="1"/>
  <c r="Z15" i="19" s="1"/>
  <c r="Z42" i="19" s="1"/>
  <c r="W24" i="19"/>
  <c r="W51" i="19" s="1"/>
  <c r="AI24" i="19" s="1"/>
  <c r="W43" i="19"/>
  <c r="AI16" i="19" s="1"/>
  <c r="W9" i="19"/>
  <c r="W36" i="19" s="1"/>
  <c r="AI9" i="19" s="1"/>
  <c r="Q3" i="19"/>
  <c r="Q21" i="19"/>
  <c r="AM21" i="19" s="1"/>
  <c r="AM48" i="19" s="1"/>
  <c r="U24" i="19"/>
  <c r="U51" i="19" s="1"/>
  <c r="AF24" i="19" s="1"/>
  <c r="Q14" i="19"/>
  <c r="Q41" i="19" s="1"/>
  <c r="Z14" i="19" s="1"/>
  <c r="Z41" i="19" s="1"/>
  <c r="S6" i="19"/>
  <c r="S25" i="19"/>
  <c r="W7" i="19"/>
  <c r="W34" i="19" s="1"/>
  <c r="AI7" i="19" s="1"/>
  <c r="Q7" i="19"/>
  <c r="AM7" i="19" s="1"/>
  <c r="AM34" i="19" s="1"/>
  <c r="U17" i="19"/>
  <c r="U44" i="19" s="1"/>
  <c r="AF17" i="19" s="1"/>
  <c r="Q11" i="19"/>
  <c r="Q38" i="19" s="1"/>
  <c r="Z11" i="19" s="1"/>
  <c r="Z38" i="19" s="1"/>
  <c r="U22" i="19"/>
  <c r="U49" i="19" s="1"/>
  <c r="AF22" i="19" s="1"/>
  <c r="U12" i="19"/>
  <c r="U39" i="19" s="1"/>
  <c r="AF12" i="19" s="1"/>
  <c r="W13" i="19"/>
  <c r="W40" i="19" s="1"/>
  <c r="AI13" i="19" s="1"/>
  <c r="S14" i="19"/>
  <c r="S15" i="19"/>
  <c r="S10" i="19"/>
  <c r="S5" i="19"/>
  <c r="Q5" i="19"/>
  <c r="AM5" i="19" s="1"/>
  <c r="AM32" i="19" s="1"/>
  <c r="W14" i="19"/>
  <c r="W41" i="19" s="1"/>
  <c r="AI14" i="19" s="1"/>
  <c r="D11" i="21"/>
  <c r="O11" i="21" s="1"/>
  <c r="Z11" i="21" s="1"/>
  <c r="I11" i="21"/>
  <c r="V11" i="21" s="1"/>
  <c r="AG11" i="21" s="1"/>
  <c r="F6" i="21"/>
  <c r="I6" i="21"/>
  <c r="E9" i="18"/>
  <c r="R9" i="18" s="1"/>
  <c r="AC9" i="18" s="1"/>
  <c r="D9" i="18"/>
  <c r="H16" i="21"/>
  <c r="J16" i="21"/>
  <c r="F16" i="21"/>
  <c r="D16" i="21"/>
  <c r="O16" i="21" s="1"/>
  <c r="Z16" i="21" s="1"/>
  <c r="G16" i="21"/>
  <c r="C16" i="21"/>
  <c r="N16" i="21" s="1"/>
  <c r="Y16" i="21" s="1"/>
  <c r="E16" i="21"/>
  <c r="S24" i="19"/>
  <c r="W21" i="19"/>
  <c r="AS21" i="19" s="1"/>
  <c r="AS48" i="19" s="1"/>
  <c r="U21" i="19"/>
  <c r="U48" i="19" s="1"/>
  <c r="AF21" i="19" s="1"/>
  <c r="W23" i="19"/>
  <c r="AS23" i="19" s="1"/>
  <c r="AS50" i="19" s="1"/>
  <c r="U20" i="19"/>
  <c r="U47" i="19" s="1"/>
  <c r="AF20" i="19" s="1"/>
  <c r="Q13" i="19"/>
  <c r="Q40" i="19" s="1"/>
  <c r="Z13" i="19" s="1"/>
  <c r="Z40" i="19" s="1"/>
  <c r="S3" i="19"/>
  <c r="Q20" i="19"/>
  <c r="Q47" i="19" s="1"/>
  <c r="Z20" i="19" s="1"/>
  <c r="Z47" i="19" s="1"/>
  <c r="S13" i="19"/>
  <c r="Q22" i="19"/>
  <c r="Q49" i="19" s="1"/>
  <c r="Z22" i="19" s="1"/>
  <c r="Z49" i="19" s="1"/>
  <c r="S11" i="19"/>
  <c r="U15" i="19"/>
  <c r="AQ15" i="19" s="1"/>
  <c r="AQ42" i="19" s="1"/>
  <c r="U6" i="19"/>
  <c r="AQ6" i="19" s="1"/>
  <c r="AQ33" i="19" s="1"/>
  <c r="W25" i="19"/>
  <c r="AS25" i="19" s="1"/>
  <c r="AS52" i="19" s="1"/>
  <c r="U8" i="19"/>
  <c r="AQ8" i="19" s="1"/>
  <c r="AQ35" i="19" s="1"/>
  <c r="W4" i="19"/>
  <c r="AS4" i="19" s="1"/>
  <c r="AS31" i="19" s="1"/>
  <c r="S19" i="19"/>
  <c r="W12" i="19"/>
  <c r="AS12" i="19" s="1"/>
  <c r="AS39" i="19" s="1"/>
  <c r="U5" i="19"/>
  <c r="AQ5" i="19" s="1"/>
  <c r="AQ32" i="19" s="1"/>
  <c r="W18" i="19"/>
  <c r="AS18" i="19" s="1"/>
  <c r="AS45" i="19" s="1"/>
  <c r="U4" i="19"/>
  <c r="AQ4" i="19" s="1"/>
  <c r="AQ31" i="19" s="1"/>
  <c r="Q9" i="19"/>
  <c r="AM9" i="19" s="1"/>
  <c r="AM36" i="19" s="1"/>
  <c r="W6" i="19"/>
  <c r="AS6" i="19" s="1"/>
  <c r="AS33" i="19" s="1"/>
  <c r="W5" i="19"/>
  <c r="AS5" i="19" s="1"/>
  <c r="AS32" i="19" s="1"/>
  <c r="Q12" i="19"/>
  <c r="AM12" i="19" s="1"/>
  <c r="AM39" i="19" s="1"/>
  <c r="W19" i="19"/>
  <c r="AS19" i="19" s="1"/>
  <c r="AS46" i="19" s="1"/>
  <c r="Q23" i="19"/>
  <c r="Q50" i="19" s="1"/>
  <c r="Z23" i="19" s="1"/>
  <c r="Z50" i="19" s="1"/>
  <c r="Q17" i="19"/>
  <c r="AM17" i="19" s="1"/>
  <c r="AM44" i="19" s="1"/>
  <c r="S8" i="19"/>
  <c r="W10" i="19"/>
  <c r="AS10" i="19" s="1"/>
  <c r="AS37" i="19" s="1"/>
  <c r="Q18" i="19"/>
  <c r="AM18" i="19" s="1"/>
  <c r="AM45" i="19" s="1"/>
  <c r="U13" i="19"/>
  <c r="U40" i="19" s="1"/>
  <c r="AF13" i="19" s="1"/>
  <c r="Q8" i="19"/>
  <c r="Q35" i="19" s="1"/>
  <c r="Z8" i="19" s="1"/>
  <c r="Z35" i="19" s="1"/>
  <c r="S22" i="19"/>
  <c r="Q6" i="19"/>
  <c r="AM6" i="19" s="1"/>
  <c r="AM33" i="19" s="1"/>
  <c r="U9" i="19"/>
  <c r="U36" i="19" s="1"/>
  <c r="AF9" i="19" s="1"/>
  <c r="Q10" i="19"/>
  <c r="AM10" i="19" s="1"/>
  <c r="AM37" i="19" s="1"/>
  <c r="U14" i="19"/>
  <c r="U41" i="19" s="1"/>
  <c r="AF14" i="19" s="1"/>
  <c r="S9" i="19"/>
  <c r="U18" i="19"/>
  <c r="U45" i="19" s="1"/>
  <c r="AF18" i="19" s="1"/>
  <c r="W11" i="19"/>
  <c r="W38" i="19" s="1"/>
  <c r="AI11" i="19" s="1"/>
  <c r="S23" i="19"/>
  <c r="S21" i="19"/>
  <c r="U25" i="19"/>
  <c r="U52" i="19" s="1"/>
  <c r="AF25" i="19" s="1"/>
  <c r="F26" i="1"/>
  <c r="F22" i="1"/>
  <c r="K28" i="18"/>
  <c r="J28" i="18"/>
  <c r="F28" i="18"/>
  <c r="G28" i="18"/>
  <c r="C28" i="18"/>
  <c r="H28" i="18"/>
  <c r="U28" i="18" s="1"/>
  <c r="AF28" i="18" s="1"/>
  <c r="E28" i="18"/>
  <c r="D28" i="18"/>
  <c r="I28" i="18"/>
  <c r="V28" i="18" s="1"/>
  <c r="AG28" i="18" s="1"/>
  <c r="J27" i="18"/>
  <c r="D27" i="18"/>
  <c r="E27" i="18"/>
  <c r="H27" i="18"/>
  <c r="F27" i="18"/>
  <c r="I27" i="18"/>
  <c r="G27" i="18"/>
  <c r="K27" i="18"/>
  <c r="C27" i="18"/>
  <c r="E26" i="18"/>
  <c r="K26" i="18"/>
  <c r="G26" i="18"/>
  <c r="C26" i="18"/>
  <c r="J26" i="18"/>
  <c r="I26" i="18"/>
  <c r="V26" i="18" s="1"/>
  <c r="AG26" i="18" s="1"/>
  <c r="D26" i="18"/>
  <c r="O26" i="18" s="1"/>
  <c r="Z26" i="18" s="1"/>
  <c r="F26" i="18"/>
  <c r="H26" i="18"/>
  <c r="U26" i="18" s="1"/>
  <c r="AF26" i="18" s="1"/>
  <c r="J25" i="18"/>
  <c r="C25" i="18"/>
  <c r="H25" i="18"/>
  <c r="F25" i="18"/>
  <c r="E25" i="18"/>
  <c r="K25" i="18"/>
  <c r="D25" i="18"/>
  <c r="I25" i="18"/>
  <c r="G25" i="18"/>
  <c r="D12" i="18"/>
  <c r="O12" i="18" s="1"/>
  <c r="Z12" i="18" s="1"/>
  <c r="J12" i="18"/>
  <c r="U12" i="18" s="1"/>
  <c r="AF12" i="18" s="1"/>
  <c r="C13" i="18"/>
  <c r="N13" i="18" s="1"/>
  <c r="Y13" i="18" s="1"/>
  <c r="J8" i="18"/>
  <c r="U8" i="18" s="1"/>
  <c r="AF8" i="18" s="1"/>
  <c r="G12" i="18"/>
  <c r="E11" i="18"/>
  <c r="K9" i="21"/>
  <c r="K8" i="18"/>
  <c r="H14" i="18"/>
  <c r="S14" i="18" s="1"/>
  <c r="AD14" i="18" s="1"/>
  <c r="E5" i="18"/>
  <c r="P5" i="18" s="1"/>
  <c r="AA5" i="18" s="1"/>
  <c r="J7" i="18"/>
  <c r="I15" i="21"/>
  <c r="T15" i="21" s="1"/>
  <c r="AE15" i="21" s="1"/>
  <c r="E8" i="21"/>
  <c r="D6" i="18"/>
  <c r="O6" i="18" s="1"/>
  <c r="Z6" i="18" s="1"/>
  <c r="J14" i="21"/>
  <c r="J20" i="21"/>
  <c r="C14" i="18"/>
  <c r="N14" i="18" s="1"/>
  <c r="Y14" i="18" s="1"/>
  <c r="G5" i="18"/>
  <c r="K7" i="18"/>
  <c r="F8" i="21"/>
  <c r="Q8" i="21" s="1"/>
  <c r="AB8" i="21" s="1"/>
  <c r="G13" i="21"/>
  <c r="I10" i="18"/>
  <c r="T10" i="18" s="1"/>
  <c r="AE10" i="18" s="1"/>
  <c r="C11" i="21"/>
  <c r="N11" i="21" s="1"/>
  <c r="Y11" i="21" s="1"/>
  <c r="E11" i="21"/>
  <c r="R11" i="21" s="1"/>
  <c r="AC11" i="21" s="1"/>
  <c r="F11" i="21"/>
  <c r="J11" i="21"/>
  <c r="G6" i="21"/>
  <c r="D6" i="21"/>
  <c r="H6" i="21"/>
  <c r="C6" i="21"/>
  <c r="P6" i="21" s="1"/>
  <c r="AA6" i="21" s="1"/>
  <c r="K15" i="21"/>
  <c r="C10" i="18"/>
  <c r="N10" i="18" s="1"/>
  <c r="Y10" i="18" s="1"/>
  <c r="C9" i="18"/>
  <c r="N9" i="18" s="1"/>
  <c r="Y9" i="18" s="1"/>
  <c r="K9" i="18"/>
  <c r="H9" i="18"/>
  <c r="F25" i="1"/>
  <c r="K12" i="21"/>
  <c r="C12" i="18"/>
  <c r="N12" i="18" s="1"/>
  <c r="Y12" i="18" s="1"/>
  <c r="K12" i="18"/>
  <c r="H10" i="21"/>
  <c r="S10" i="21" s="1"/>
  <c r="AD10" i="21" s="1"/>
  <c r="C5" i="21"/>
  <c r="N5" i="21" s="1"/>
  <c r="Y5" i="21" s="1"/>
  <c r="C8" i="18"/>
  <c r="N8" i="18" s="1"/>
  <c r="Y8" i="18" s="1"/>
  <c r="I8" i="18"/>
  <c r="J24" i="21"/>
  <c r="H24" i="21"/>
  <c r="G24" i="21"/>
  <c r="E24" i="21"/>
  <c r="F24" i="21"/>
  <c r="D24" i="21"/>
  <c r="C24" i="21"/>
  <c r="K24" i="21"/>
  <c r="I24" i="21"/>
  <c r="I24" i="18"/>
  <c r="K24" i="18"/>
  <c r="C24" i="18"/>
  <c r="G24" i="18"/>
  <c r="H24" i="18"/>
  <c r="J24" i="18"/>
  <c r="E24" i="18"/>
  <c r="F24" i="18"/>
  <c r="D24" i="18"/>
  <c r="O24" i="18" s="1"/>
  <c r="Z24" i="18" s="1"/>
  <c r="I19" i="18"/>
  <c r="F12" i="21"/>
  <c r="I12" i="18"/>
  <c r="E12" i="18"/>
  <c r="F12" i="18"/>
  <c r="S12" i="18" s="1"/>
  <c r="AD12" i="18" s="1"/>
  <c r="K11" i="18"/>
  <c r="D10" i="21"/>
  <c r="O10" i="21" s="1"/>
  <c r="Z10" i="21" s="1"/>
  <c r="D13" i="18"/>
  <c r="O13" i="18" s="1"/>
  <c r="Z13" i="18" s="1"/>
  <c r="K5" i="21"/>
  <c r="J5" i="21"/>
  <c r="I7" i="21"/>
  <c r="D8" i="18"/>
  <c r="O8" i="18" s="1"/>
  <c r="Z8" i="18" s="1"/>
  <c r="E8" i="18"/>
  <c r="F8" i="18"/>
  <c r="S8" i="18" s="1"/>
  <c r="AD8" i="18" s="1"/>
  <c r="G8" i="18"/>
  <c r="F21" i="1"/>
  <c r="H23" i="18"/>
  <c r="J23" i="18"/>
  <c r="E23" i="18"/>
  <c r="F23" i="18"/>
  <c r="D23" i="18"/>
  <c r="I23" i="18"/>
  <c r="K23" i="18"/>
  <c r="C23" i="18"/>
  <c r="G23" i="18"/>
  <c r="J23" i="21"/>
  <c r="H23" i="21"/>
  <c r="G23" i="21"/>
  <c r="E23" i="21"/>
  <c r="F23" i="21"/>
  <c r="D23" i="21"/>
  <c r="C23" i="21"/>
  <c r="K23" i="21"/>
  <c r="I23" i="21"/>
  <c r="H12" i="21"/>
  <c r="E12" i="21"/>
  <c r="P12" i="21" s="1"/>
  <c r="AA12" i="21" s="1"/>
  <c r="I11" i="18"/>
  <c r="C11" i="18"/>
  <c r="H11" i="18"/>
  <c r="U11" i="18" s="1"/>
  <c r="AF11" i="18" s="1"/>
  <c r="E17" i="18"/>
  <c r="P17" i="18" s="1"/>
  <c r="AA17" i="18" s="1"/>
  <c r="E18" i="18"/>
  <c r="D9" i="21"/>
  <c r="O9" i="21" s="1"/>
  <c r="Z9" i="21" s="1"/>
  <c r="K10" i="21"/>
  <c r="E10" i="21"/>
  <c r="C10" i="21"/>
  <c r="N10" i="21" s="1"/>
  <c r="Y10" i="21" s="1"/>
  <c r="K13" i="18"/>
  <c r="G13" i="18"/>
  <c r="R13" i="18" s="1"/>
  <c r="AC13" i="18" s="1"/>
  <c r="G5" i="21"/>
  <c r="H5" i="21"/>
  <c r="S5" i="21" s="1"/>
  <c r="AD5" i="21" s="1"/>
  <c r="C7" i="21"/>
  <c r="P7" i="21" s="1"/>
  <c r="AA7" i="21" s="1"/>
  <c r="F20" i="21"/>
  <c r="E20" i="21"/>
  <c r="G20" i="21"/>
  <c r="C20" i="21"/>
  <c r="D20" i="21"/>
  <c r="C15" i="21"/>
  <c r="N15" i="21" s="1"/>
  <c r="Y15" i="21" s="1"/>
  <c r="D15" i="21"/>
  <c r="O15" i="21" s="1"/>
  <c r="Z15" i="21" s="1"/>
  <c r="F15" i="21"/>
  <c r="J15" i="21"/>
  <c r="H13" i="21"/>
  <c r="I13" i="21"/>
  <c r="V13" i="21" s="1"/>
  <c r="AG13" i="21" s="1"/>
  <c r="K10" i="18"/>
  <c r="E10" i="18"/>
  <c r="R10" i="18" s="1"/>
  <c r="AC10" i="18" s="1"/>
  <c r="H10" i="18"/>
  <c r="D10" i="18"/>
  <c r="I14" i="21"/>
  <c r="V14" i="21" s="1"/>
  <c r="AG14" i="21" s="1"/>
  <c r="G14" i="21"/>
  <c r="H14" i="21"/>
  <c r="D14" i="21"/>
  <c r="O14" i="21" s="1"/>
  <c r="Z14" i="21" s="1"/>
  <c r="F14" i="21"/>
  <c r="G6" i="18"/>
  <c r="H6" i="18"/>
  <c r="U6" i="18" s="1"/>
  <c r="AF6" i="18" s="1"/>
  <c r="K6" i="18"/>
  <c r="F6" i="18"/>
  <c r="C6" i="18"/>
  <c r="N6" i="18" s="1"/>
  <c r="Y6" i="18" s="1"/>
  <c r="G8" i="21"/>
  <c r="K8" i="21"/>
  <c r="C8" i="21"/>
  <c r="N8" i="21" s="1"/>
  <c r="Y8" i="21" s="1"/>
  <c r="I8" i="21"/>
  <c r="E14" i="18"/>
  <c r="K14" i="18"/>
  <c r="J14" i="18"/>
  <c r="G14" i="18"/>
  <c r="H5" i="18"/>
  <c r="J5" i="18"/>
  <c r="K5" i="18"/>
  <c r="I5" i="18"/>
  <c r="E7" i="18"/>
  <c r="P7" i="18" s="1"/>
  <c r="AA7" i="18" s="1"/>
  <c r="F7" i="18"/>
  <c r="H7" i="18"/>
  <c r="D7" i="18"/>
  <c r="I20" i="21"/>
  <c r="V20" i="21" s="1"/>
  <c r="AG20" i="21" s="1"/>
  <c r="H20" i="21"/>
  <c r="D14" i="18"/>
  <c r="Q14" i="18" s="1"/>
  <c r="AB14" i="18" s="1"/>
  <c r="I14" i="18"/>
  <c r="F5" i="18"/>
  <c r="D5" i="18"/>
  <c r="G7" i="18"/>
  <c r="I7" i="18"/>
  <c r="H15" i="21"/>
  <c r="E15" i="21"/>
  <c r="R15" i="21" s="1"/>
  <c r="AC15" i="21" s="1"/>
  <c r="H8" i="21"/>
  <c r="J8" i="21"/>
  <c r="F13" i="21"/>
  <c r="I6" i="18"/>
  <c r="E6" i="18"/>
  <c r="C14" i="21"/>
  <c r="N14" i="21" s="1"/>
  <c r="Y14" i="21" s="1"/>
  <c r="E14" i="21"/>
  <c r="J10" i="18"/>
  <c r="F10" i="18"/>
  <c r="I18" i="18"/>
  <c r="I12" i="21"/>
  <c r="D12" i="21"/>
  <c r="J12" i="21"/>
  <c r="G12" i="21"/>
  <c r="F11" i="18"/>
  <c r="G11" i="18"/>
  <c r="D11" i="18"/>
  <c r="O11" i="18" s="1"/>
  <c r="Z11" i="18" s="1"/>
  <c r="D17" i="18"/>
  <c r="K18" i="18"/>
  <c r="G18" i="18"/>
  <c r="C9" i="21"/>
  <c r="N9" i="21" s="1"/>
  <c r="Y9" i="21" s="1"/>
  <c r="I9" i="21"/>
  <c r="J10" i="21"/>
  <c r="I10" i="21"/>
  <c r="G10" i="21"/>
  <c r="F13" i="18"/>
  <c r="J13" i="18"/>
  <c r="H13" i="18"/>
  <c r="I13" i="18"/>
  <c r="E5" i="21"/>
  <c r="D5" i="21"/>
  <c r="Q5" i="21" s="1"/>
  <c r="AB5" i="21" s="1"/>
  <c r="I5" i="21"/>
  <c r="J7" i="21"/>
  <c r="H7" i="21"/>
  <c r="T5" i="1"/>
  <c r="T6" i="1"/>
  <c r="T8" i="1"/>
  <c r="T7" i="1"/>
  <c r="T9" i="1"/>
  <c r="K19" i="18"/>
  <c r="H17" i="18"/>
  <c r="N17" i="18"/>
  <c r="Y17" i="18" s="1"/>
  <c r="H18" i="21"/>
  <c r="J18" i="18"/>
  <c r="U18" i="18" s="1"/>
  <c r="AF18" i="18" s="1"/>
  <c r="N12" i="21"/>
  <c r="Y12" i="21" s="1"/>
  <c r="J9" i="21"/>
  <c r="U9" i="21" s="1"/>
  <c r="AF9" i="21" s="1"/>
  <c r="D13" i="21"/>
  <c r="K7" i="21"/>
  <c r="O8" i="21"/>
  <c r="Z8" i="21" s="1"/>
  <c r="N20" i="18"/>
  <c r="Y20" i="18" s="1"/>
  <c r="N7" i="18"/>
  <c r="Y7" i="18" s="1"/>
  <c r="N5" i="18"/>
  <c r="Y5" i="18" s="1"/>
  <c r="H20" i="18"/>
  <c r="E18" i="21"/>
  <c r="E20" i="18"/>
  <c r="P20" i="18" s="1"/>
  <c r="AA20" i="18" s="1"/>
  <c r="C19" i="18"/>
  <c r="I17" i="18"/>
  <c r="G17" i="18"/>
  <c r="J17" i="18"/>
  <c r="K17" i="18"/>
  <c r="C18" i="18"/>
  <c r="D18" i="18"/>
  <c r="F18" i="18"/>
  <c r="S18" i="18" s="1"/>
  <c r="AD18" i="18" s="1"/>
  <c r="F9" i="21"/>
  <c r="S9" i="21" s="1"/>
  <c r="AD9" i="21" s="1"/>
  <c r="E9" i="21"/>
  <c r="G9" i="21"/>
  <c r="C13" i="21"/>
  <c r="E13" i="21"/>
  <c r="J13" i="21"/>
  <c r="F7" i="21"/>
  <c r="D7" i="21"/>
  <c r="G7" i="21"/>
  <c r="C18" i="21"/>
  <c r="F20" i="18"/>
  <c r="J20" i="18"/>
  <c r="E19" i="18"/>
  <c r="D19" i="18"/>
  <c r="I18" i="21"/>
  <c r="G18" i="21"/>
  <c r="I20" i="18"/>
  <c r="K20" i="18"/>
  <c r="G20" i="18"/>
  <c r="D20" i="18"/>
  <c r="F19" i="18"/>
  <c r="H19" i="18"/>
  <c r="U19" i="18" s="1"/>
  <c r="AF19" i="18" s="1"/>
  <c r="G19" i="18"/>
  <c r="K18" i="21"/>
  <c r="F18" i="21"/>
  <c r="J18" i="21"/>
  <c r="D18" i="21"/>
  <c r="D19" i="21"/>
  <c r="K19" i="21"/>
  <c r="J19" i="21"/>
  <c r="G19" i="21"/>
  <c r="F19" i="21"/>
  <c r="C19" i="21"/>
  <c r="I19" i="21"/>
  <c r="H19" i="21"/>
  <c r="E19" i="21"/>
  <c r="K15" i="18"/>
  <c r="D15" i="18"/>
  <c r="C15" i="18"/>
  <c r="G15" i="18"/>
  <c r="J15" i="18"/>
  <c r="E15" i="18"/>
  <c r="H15" i="18"/>
  <c r="I15" i="18"/>
  <c r="F15" i="18"/>
  <c r="J16" i="18"/>
  <c r="K16" i="18"/>
  <c r="D16" i="18"/>
  <c r="I16" i="18"/>
  <c r="C16" i="18"/>
  <c r="G16" i="18"/>
  <c r="F16" i="18"/>
  <c r="H16" i="18"/>
  <c r="E16" i="18"/>
  <c r="J17" i="21"/>
  <c r="K17" i="21"/>
  <c r="G17" i="21"/>
  <c r="C17" i="21"/>
  <c r="H17" i="21"/>
  <c r="F17" i="21"/>
  <c r="I17" i="21"/>
  <c r="E17" i="21"/>
  <c r="D17" i="21"/>
  <c r="I21" i="18"/>
  <c r="D21" i="18"/>
  <c r="H21" i="18"/>
  <c r="F21" i="18"/>
  <c r="E21" i="18"/>
  <c r="K21" i="18"/>
  <c r="C21" i="18"/>
  <c r="G21" i="18"/>
  <c r="J21" i="18"/>
  <c r="H22" i="21"/>
  <c r="G22" i="21"/>
  <c r="D22" i="21"/>
  <c r="C22" i="21"/>
  <c r="J22" i="21"/>
  <c r="I22" i="21"/>
  <c r="F22" i="21"/>
  <c r="E22" i="21"/>
  <c r="K22" i="21"/>
  <c r="J22" i="18"/>
  <c r="D22" i="18"/>
  <c r="O22" i="18" s="1"/>
  <c r="Z22" i="18" s="1"/>
  <c r="C22" i="18"/>
  <c r="G22" i="18"/>
  <c r="H22" i="18"/>
  <c r="U22" i="18" s="1"/>
  <c r="AF22" i="18" s="1"/>
  <c r="E22" i="18"/>
  <c r="K22" i="18"/>
  <c r="I22" i="18"/>
  <c r="F22" i="18"/>
  <c r="S22" i="18" s="1"/>
  <c r="AD22" i="18" s="1"/>
  <c r="J21" i="21"/>
  <c r="K21" i="21"/>
  <c r="F21" i="21"/>
  <c r="G21" i="21"/>
  <c r="I21" i="21"/>
  <c r="C21" i="21"/>
  <c r="E21" i="21"/>
  <c r="H21" i="21"/>
  <c r="D21" i="21"/>
  <c r="AI35" i="19" l="1"/>
  <c r="AF44" i="19"/>
  <c r="AI51" i="19"/>
  <c r="AF50" i="19"/>
  <c r="AI42" i="19"/>
  <c r="AI38" i="19"/>
  <c r="AF40" i="19"/>
  <c r="AF46" i="19"/>
  <c r="AF49" i="19"/>
  <c r="AI36" i="19"/>
  <c r="AI49" i="19"/>
  <c r="Q30" i="19"/>
  <c r="Z3" i="19" s="1"/>
  <c r="Z30" i="19" s="1"/>
  <c r="Q31" i="19"/>
  <c r="Z4" i="19" s="1"/>
  <c r="Z31" i="19" s="1"/>
  <c r="U30" i="19"/>
  <c r="AF3" i="19" s="1"/>
  <c r="W30" i="19"/>
  <c r="AI3" i="19" s="1"/>
  <c r="S43" i="19"/>
  <c r="AC16" i="19" s="1"/>
  <c r="S52" i="19"/>
  <c r="AC25" i="19" s="1"/>
  <c r="S36" i="19"/>
  <c r="AC9" i="19" s="1"/>
  <c r="AO6" i="19"/>
  <c r="AO33" i="19" s="1"/>
  <c r="S47" i="19"/>
  <c r="AC20" i="19" s="1"/>
  <c r="AO23" i="19"/>
  <c r="AO50" i="19" s="1"/>
  <c r="S49" i="19"/>
  <c r="AC22" i="19" s="1"/>
  <c r="S37" i="19"/>
  <c r="AC10" i="19" s="1"/>
  <c r="S39" i="19"/>
  <c r="AC12" i="19" s="1"/>
  <c r="S45" i="19"/>
  <c r="AC18" i="19" s="1"/>
  <c r="S41" i="19"/>
  <c r="AC14" i="19" s="1"/>
  <c r="AO17" i="19"/>
  <c r="AO44" i="19" s="1"/>
  <c r="S48" i="19"/>
  <c r="AC21" i="19" s="1"/>
  <c r="AO19" i="19"/>
  <c r="AO46" i="19" s="1"/>
  <c r="AO13" i="19"/>
  <c r="AO40" i="19" s="1"/>
  <c r="S51" i="19"/>
  <c r="AC24" i="19" s="1"/>
  <c r="S32" i="19"/>
  <c r="AC5" i="19" s="1"/>
  <c r="S35" i="19"/>
  <c r="AC8" i="19" s="1"/>
  <c r="AO11" i="19"/>
  <c r="AO38" i="19" s="1"/>
  <c r="S30" i="19"/>
  <c r="AC3" i="19" s="1"/>
  <c r="AO15" i="19"/>
  <c r="AO42" i="19" s="1"/>
  <c r="S34" i="19"/>
  <c r="AC7" i="19" s="1"/>
  <c r="S31" i="19"/>
  <c r="AC4" i="19" s="1"/>
  <c r="R41" i="21"/>
  <c r="AC41" i="21" s="1"/>
  <c r="T42" i="18"/>
  <c r="AE42" i="18" s="1"/>
  <c r="U42" i="18"/>
  <c r="AF42" i="18" s="1"/>
  <c r="Q42" i="21"/>
  <c r="AB42" i="21" s="1"/>
  <c r="T42" i="21"/>
  <c r="AE42" i="21" s="1"/>
  <c r="S41" i="18"/>
  <c r="AD41" i="18" s="1"/>
  <c r="Q34" i="18"/>
  <c r="AB34" i="18" s="1"/>
  <c r="V41" i="21"/>
  <c r="AG41" i="21" s="1"/>
  <c r="Q41" i="21"/>
  <c r="AB41" i="21" s="1"/>
  <c r="Q42" i="18"/>
  <c r="AB42" i="18" s="1"/>
  <c r="V42" i="18"/>
  <c r="AG42" i="18" s="1"/>
  <c r="U42" i="21"/>
  <c r="AF42" i="21" s="1"/>
  <c r="V41" i="18"/>
  <c r="AG41" i="18" s="1"/>
  <c r="O42" i="18"/>
  <c r="Z42" i="18" s="1"/>
  <c r="R42" i="18"/>
  <c r="AC42" i="18" s="1"/>
  <c r="N42" i="21"/>
  <c r="Y42" i="21" s="1"/>
  <c r="P42" i="21"/>
  <c r="AA42" i="21" s="1"/>
  <c r="N42" i="18"/>
  <c r="Y42" i="18" s="1"/>
  <c r="P42" i="18"/>
  <c r="AA42" i="18" s="1"/>
  <c r="S42" i="18"/>
  <c r="AD42" i="18" s="1"/>
  <c r="R42" i="21"/>
  <c r="AC42" i="21" s="1"/>
  <c r="V42" i="21"/>
  <c r="AG42" i="21" s="1"/>
  <c r="O42" i="21"/>
  <c r="Z42" i="21" s="1"/>
  <c r="U41" i="21"/>
  <c r="AF41" i="21" s="1"/>
  <c r="O41" i="21"/>
  <c r="Z41" i="21" s="1"/>
  <c r="N41" i="21"/>
  <c r="Y41" i="21" s="1"/>
  <c r="P41" i="21"/>
  <c r="AA41" i="21" s="1"/>
  <c r="R34" i="21"/>
  <c r="AC34" i="21" s="1"/>
  <c r="V34" i="18"/>
  <c r="AG34" i="18" s="1"/>
  <c r="T41" i="21"/>
  <c r="AE41" i="21" s="1"/>
  <c r="S41" i="21"/>
  <c r="AD41" i="21" s="1"/>
  <c r="P41" i="18"/>
  <c r="AA41" i="18" s="1"/>
  <c r="N41" i="18"/>
  <c r="Y41" i="18" s="1"/>
  <c r="U41" i="18"/>
  <c r="AF41" i="18" s="1"/>
  <c r="R41" i="18"/>
  <c r="AC41" i="18" s="1"/>
  <c r="Q41" i="18"/>
  <c r="AB41" i="18" s="1"/>
  <c r="O41" i="18"/>
  <c r="Z41" i="18" s="1"/>
  <c r="T34" i="18"/>
  <c r="AE34" i="18" s="1"/>
  <c r="S34" i="21"/>
  <c r="AD34" i="21" s="1"/>
  <c r="R22" i="21"/>
  <c r="AC22" i="21" s="1"/>
  <c r="U28" i="21"/>
  <c r="AF28" i="21" s="1"/>
  <c r="P28" i="21"/>
  <c r="AA28" i="21" s="1"/>
  <c r="S32" i="21"/>
  <c r="AD32" i="21" s="1"/>
  <c r="Q32" i="18"/>
  <c r="AB32" i="18" s="1"/>
  <c r="R32" i="21"/>
  <c r="AC32" i="21" s="1"/>
  <c r="S38" i="18"/>
  <c r="AD38" i="18" s="1"/>
  <c r="R38" i="21"/>
  <c r="AC38" i="21" s="1"/>
  <c r="Q40" i="21"/>
  <c r="AB40" i="21" s="1"/>
  <c r="U37" i="21"/>
  <c r="AF37" i="21" s="1"/>
  <c r="Q38" i="18"/>
  <c r="AB38" i="18" s="1"/>
  <c r="V38" i="21"/>
  <c r="AG38" i="21" s="1"/>
  <c r="U38" i="21"/>
  <c r="AF38" i="21" s="1"/>
  <c r="R40" i="18"/>
  <c r="AC40" i="18" s="1"/>
  <c r="T40" i="18"/>
  <c r="AE40" i="18" s="1"/>
  <c r="T37" i="21"/>
  <c r="AE37" i="21" s="1"/>
  <c r="V38" i="18"/>
  <c r="AG38" i="18" s="1"/>
  <c r="S40" i="18"/>
  <c r="AD40" i="18" s="1"/>
  <c r="R40" i="21"/>
  <c r="AC40" i="21" s="1"/>
  <c r="U40" i="21"/>
  <c r="AF40" i="21" s="1"/>
  <c r="Q40" i="18"/>
  <c r="AB40" i="18" s="1"/>
  <c r="U40" i="18"/>
  <c r="AF40" i="18" s="1"/>
  <c r="V40" i="18"/>
  <c r="AG40" i="18" s="1"/>
  <c r="N40" i="21"/>
  <c r="Y40" i="21" s="1"/>
  <c r="P40" i="21"/>
  <c r="AA40" i="21" s="1"/>
  <c r="V40" i="21"/>
  <c r="AG40" i="21" s="1"/>
  <c r="O40" i="18"/>
  <c r="Z40" i="18" s="1"/>
  <c r="N40" i="18"/>
  <c r="Y40" i="18" s="1"/>
  <c r="P40" i="18"/>
  <c r="AA40" i="18" s="1"/>
  <c r="S40" i="21"/>
  <c r="AD40" i="21" s="1"/>
  <c r="O40" i="21"/>
  <c r="Z40" i="21" s="1"/>
  <c r="P38" i="18"/>
  <c r="AA38" i="18" s="1"/>
  <c r="N38" i="18"/>
  <c r="Y38" i="18" s="1"/>
  <c r="R38" i="18"/>
  <c r="AC38" i="18" s="1"/>
  <c r="Q38" i="21"/>
  <c r="AB38" i="21" s="1"/>
  <c r="O38" i="21"/>
  <c r="Z38" i="21" s="1"/>
  <c r="S38" i="21"/>
  <c r="AD38" i="21" s="1"/>
  <c r="T38" i="18"/>
  <c r="AE38" i="18" s="1"/>
  <c r="T38" i="21"/>
  <c r="AE38" i="21" s="1"/>
  <c r="N38" i="21"/>
  <c r="Y38" i="21" s="1"/>
  <c r="P38" i="21"/>
  <c r="AA38" i="21" s="1"/>
  <c r="O38" i="18"/>
  <c r="Z38" i="18" s="1"/>
  <c r="T37" i="18"/>
  <c r="AE37" i="18" s="1"/>
  <c r="S37" i="21"/>
  <c r="AD37" i="21" s="1"/>
  <c r="V37" i="18"/>
  <c r="AG37" i="18" s="1"/>
  <c r="U34" i="18"/>
  <c r="AF34" i="18" s="1"/>
  <c r="Q34" i="21"/>
  <c r="AB34" i="21" s="1"/>
  <c r="O34" i="21"/>
  <c r="Z34" i="21" s="1"/>
  <c r="V34" i="21"/>
  <c r="AG34" i="21" s="1"/>
  <c r="N34" i="21"/>
  <c r="Y34" i="21" s="1"/>
  <c r="P34" i="21"/>
  <c r="AA34" i="21" s="1"/>
  <c r="T34" i="21"/>
  <c r="AE34" i="21" s="1"/>
  <c r="S34" i="18"/>
  <c r="AD34" i="18" s="1"/>
  <c r="O34" i="18"/>
  <c r="Z34" i="18" s="1"/>
  <c r="U34" i="21"/>
  <c r="AF34" i="21" s="1"/>
  <c r="N34" i="18"/>
  <c r="Y34" i="18" s="1"/>
  <c r="P34" i="18"/>
  <c r="AA34" i="18" s="1"/>
  <c r="R34" i="18"/>
  <c r="AC34" i="18" s="1"/>
  <c r="T33" i="21"/>
  <c r="AE33" i="21" s="1"/>
  <c r="V33" i="18"/>
  <c r="AG33" i="18" s="1"/>
  <c r="T32" i="18"/>
  <c r="AE32" i="18" s="1"/>
  <c r="U32" i="18"/>
  <c r="AF32" i="18" s="1"/>
  <c r="N32" i="21"/>
  <c r="Y32" i="21" s="1"/>
  <c r="P32" i="21"/>
  <c r="AA32" i="21" s="1"/>
  <c r="Q32" i="21"/>
  <c r="AB32" i="21" s="1"/>
  <c r="T32" i="21"/>
  <c r="AE32" i="21" s="1"/>
  <c r="O32" i="18"/>
  <c r="Z32" i="18" s="1"/>
  <c r="N32" i="18"/>
  <c r="Y32" i="18" s="1"/>
  <c r="P32" i="18"/>
  <c r="AA32" i="18" s="1"/>
  <c r="S32" i="18"/>
  <c r="AD32" i="18" s="1"/>
  <c r="V32" i="21"/>
  <c r="AG32" i="21" s="1"/>
  <c r="U32" i="21"/>
  <c r="AF32" i="21" s="1"/>
  <c r="R32" i="18"/>
  <c r="AC32" i="18" s="1"/>
  <c r="S28" i="21"/>
  <c r="AD28" i="21" s="1"/>
  <c r="T28" i="21"/>
  <c r="AE28" i="21" s="1"/>
  <c r="P37" i="21"/>
  <c r="AA37" i="21" s="1"/>
  <c r="N37" i="21"/>
  <c r="Y37" i="21" s="1"/>
  <c r="R37" i="21"/>
  <c r="AC37" i="21" s="1"/>
  <c r="V37" i="21"/>
  <c r="AG37" i="21" s="1"/>
  <c r="Q37" i="21"/>
  <c r="AB37" i="21" s="1"/>
  <c r="R37" i="18"/>
  <c r="AC37" i="18" s="1"/>
  <c r="U37" i="18"/>
  <c r="AF37" i="18" s="1"/>
  <c r="S37" i="18"/>
  <c r="AD37" i="18" s="1"/>
  <c r="Q37" i="18"/>
  <c r="AB37" i="18" s="1"/>
  <c r="N37" i="18"/>
  <c r="Y37" i="18" s="1"/>
  <c r="P37" i="18"/>
  <c r="AA37" i="18" s="1"/>
  <c r="S26" i="21"/>
  <c r="AD26" i="21" s="1"/>
  <c r="R35" i="21"/>
  <c r="AC35" i="21" s="1"/>
  <c r="Q36" i="18"/>
  <c r="AB36" i="18" s="1"/>
  <c r="T39" i="18"/>
  <c r="AE39" i="18" s="1"/>
  <c r="V35" i="18"/>
  <c r="AG35" i="18" s="1"/>
  <c r="Q35" i="18"/>
  <c r="AB35" i="18" s="1"/>
  <c r="V35" i="21"/>
  <c r="AG35" i="21" s="1"/>
  <c r="T39" i="21"/>
  <c r="AE39" i="21" s="1"/>
  <c r="S36" i="18"/>
  <c r="AD36" i="18" s="1"/>
  <c r="Q36" i="21"/>
  <c r="AB36" i="21" s="1"/>
  <c r="T35" i="21"/>
  <c r="AE35" i="21" s="1"/>
  <c r="Q39" i="21"/>
  <c r="AB39" i="21" s="1"/>
  <c r="U39" i="18"/>
  <c r="AF39" i="18" s="1"/>
  <c r="S35" i="21"/>
  <c r="AD35" i="21" s="1"/>
  <c r="U35" i="21"/>
  <c r="AF35" i="21" s="1"/>
  <c r="T36" i="21"/>
  <c r="AE36" i="21" s="1"/>
  <c r="P39" i="21"/>
  <c r="AA39" i="21" s="1"/>
  <c r="N39" i="21"/>
  <c r="Y39" i="21" s="1"/>
  <c r="R39" i="18"/>
  <c r="AC39" i="18" s="1"/>
  <c r="U36" i="18"/>
  <c r="AF36" i="18" s="1"/>
  <c r="N36" i="18"/>
  <c r="Y36" i="18" s="1"/>
  <c r="P36" i="18"/>
  <c r="AA36" i="18" s="1"/>
  <c r="U35" i="18"/>
  <c r="AF35" i="18" s="1"/>
  <c r="T35" i="18"/>
  <c r="AE35" i="18" s="1"/>
  <c r="U36" i="21"/>
  <c r="AF36" i="21" s="1"/>
  <c r="P35" i="21"/>
  <c r="AA35" i="21" s="1"/>
  <c r="N35" i="21"/>
  <c r="Y35" i="21" s="1"/>
  <c r="S39" i="18"/>
  <c r="AD39" i="18" s="1"/>
  <c r="O39" i="21"/>
  <c r="Z39" i="21" s="1"/>
  <c r="O35" i="18"/>
  <c r="Z35" i="18" s="1"/>
  <c r="V36" i="21"/>
  <c r="AG36" i="21" s="1"/>
  <c r="U39" i="21"/>
  <c r="AF39" i="21" s="1"/>
  <c r="O36" i="21"/>
  <c r="Z36" i="21" s="1"/>
  <c r="S25" i="21"/>
  <c r="AD25" i="21" s="1"/>
  <c r="T36" i="18"/>
  <c r="AE36" i="18" s="1"/>
  <c r="R36" i="18"/>
  <c r="AC36" i="18" s="1"/>
  <c r="P36" i="21"/>
  <c r="AA36" i="21" s="1"/>
  <c r="N36" i="21"/>
  <c r="Y36" i="21" s="1"/>
  <c r="R36" i="21"/>
  <c r="AC36" i="21" s="1"/>
  <c r="S39" i="21"/>
  <c r="AD39" i="21" s="1"/>
  <c r="R39" i="21"/>
  <c r="AC39" i="21" s="1"/>
  <c r="S35" i="18"/>
  <c r="AD35" i="18" s="1"/>
  <c r="P39" i="18"/>
  <c r="AA39" i="18" s="1"/>
  <c r="N39" i="18"/>
  <c r="Y39" i="18" s="1"/>
  <c r="V39" i="18"/>
  <c r="AG39" i="18" s="1"/>
  <c r="Q39" i="18"/>
  <c r="AB39" i="18" s="1"/>
  <c r="O36" i="18"/>
  <c r="Z36" i="18" s="1"/>
  <c r="N35" i="18"/>
  <c r="Y35" i="18" s="1"/>
  <c r="P35" i="18"/>
  <c r="AA35" i="18" s="1"/>
  <c r="Q25" i="21"/>
  <c r="AB25" i="21" s="1"/>
  <c r="U25" i="21"/>
  <c r="AF25" i="21" s="1"/>
  <c r="V25" i="21"/>
  <c r="AG25" i="21" s="1"/>
  <c r="V25" i="18"/>
  <c r="AG25" i="18" s="1"/>
  <c r="AI43" i="19"/>
  <c r="T25" i="21"/>
  <c r="AE25" i="21" s="1"/>
  <c r="U25" i="18"/>
  <c r="AF25" i="18" s="1"/>
  <c r="R25" i="21"/>
  <c r="AC25" i="21" s="1"/>
  <c r="N33" i="21"/>
  <c r="Y33" i="21" s="1"/>
  <c r="P33" i="21"/>
  <c r="AA33" i="21" s="1"/>
  <c r="N33" i="18"/>
  <c r="Y33" i="18" s="1"/>
  <c r="P33" i="18"/>
  <c r="AA33" i="18" s="1"/>
  <c r="O33" i="21"/>
  <c r="Z33" i="21" s="1"/>
  <c r="R33" i="18"/>
  <c r="AC33" i="18" s="1"/>
  <c r="V33" i="21"/>
  <c r="AG33" i="21" s="1"/>
  <c r="U33" i="21"/>
  <c r="AF33" i="21" s="1"/>
  <c r="U33" i="18"/>
  <c r="AF33" i="18" s="1"/>
  <c r="T33" i="18"/>
  <c r="AE33" i="18" s="1"/>
  <c r="S33" i="18"/>
  <c r="AD33" i="18" s="1"/>
  <c r="R33" i="21"/>
  <c r="AC33" i="21" s="1"/>
  <c r="O33" i="18"/>
  <c r="Z33" i="18" s="1"/>
  <c r="V31" i="21"/>
  <c r="AG31" i="21" s="1"/>
  <c r="Q31" i="21"/>
  <c r="AB31" i="21" s="1"/>
  <c r="U31" i="21"/>
  <c r="AF31" i="21" s="1"/>
  <c r="R31" i="21"/>
  <c r="AC31" i="21" s="1"/>
  <c r="N31" i="21"/>
  <c r="Y31" i="21" s="1"/>
  <c r="P31" i="21"/>
  <c r="AA31" i="21" s="1"/>
  <c r="T31" i="21"/>
  <c r="AE31" i="21" s="1"/>
  <c r="S31" i="21"/>
  <c r="AD31" i="21" s="1"/>
  <c r="H31" i="18"/>
  <c r="O31" i="21"/>
  <c r="Z31" i="21" s="1"/>
  <c r="S48" i="18"/>
  <c r="S48" i="21"/>
  <c r="N48" i="18"/>
  <c r="N48" i="21"/>
  <c r="Q49" i="18"/>
  <c r="Q49" i="21"/>
  <c r="O49" i="18"/>
  <c r="O49" i="21"/>
  <c r="R46" i="18"/>
  <c r="R46" i="21"/>
  <c r="S46" i="18"/>
  <c r="S46" i="21"/>
  <c r="U47" i="21"/>
  <c r="U47" i="18"/>
  <c r="O47" i="21"/>
  <c r="O47" i="18"/>
  <c r="L31" i="19"/>
  <c r="T48" i="18"/>
  <c r="T48" i="21"/>
  <c r="R48" i="18"/>
  <c r="R48" i="21"/>
  <c r="R49" i="18"/>
  <c r="R49" i="21"/>
  <c r="S49" i="18"/>
  <c r="S49" i="21"/>
  <c r="T49" i="18"/>
  <c r="T49" i="21"/>
  <c r="U46" i="18"/>
  <c r="U46" i="21"/>
  <c r="P46" i="18"/>
  <c r="P46" i="21"/>
  <c r="T46" i="18"/>
  <c r="T46" i="21"/>
  <c r="P47" i="21"/>
  <c r="P47" i="18"/>
  <c r="Q48" i="18"/>
  <c r="Q48" i="21"/>
  <c r="P48" i="18"/>
  <c r="P48" i="21"/>
  <c r="U49" i="18"/>
  <c r="U49" i="21"/>
  <c r="N49" i="18"/>
  <c r="N49" i="21"/>
  <c r="Q46" i="18"/>
  <c r="Q46" i="21"/>
  <c r="V47" i="21"/>
  <c r="V47" i="18"/>
  <c r="Q47" i="21"/>
  <c r="Q47" i="18"/>
  <c r="O48" i="18"/>
  <c r="O48" i="21"/>
  <c r="V48" i="18"/>
  <c r="V48" i="21"/>
  <c r="U48" i="18"/>
  <c r="U48" i="21"/>
  <c r="V49" i="18"/>
  <c r="V49" i="21"/>
  <c r="P49" i="18"/>
  <c r="P49" i="21"/>
  <c r="O46" i="18"/>
  <c r="O46" i="21"/>
  <c r="V46" i="18"/>
  <c r="V46" i="21"/>
  <c r="S47" i="21"/>
  <c r="S47" i="18"/>
  <c r="R47" i="21"/>
  <c r="R47" i="18"/>
  <c r="T47" i="21"/>
  <c r="T47" i="18"/>
  <c r="T27" i="21"/>
  <c r="AE27" i="21" s="1"/>
  <c r="P26" i="21"/>
  <c r="AA26" i="21" s="1"/>
  <c r="U27" i="21"/>
  <c r="AF27" i="21" s="1"/>
  <c r="R26" i="21"/>
  <c r="AC26" i="21" s="1"/>
  <c r="T26" i="21"/>
  <c r="AE26" i="21" s="1"/>
  <c r="U26" i="21"/>
  <c r="AF26" i="21" s="1"/>
  <c r="S27" i="21"/>
  <c r="AD27" i="21" s="1"/>
  <c r="Q27" i="21"/>
  <c r="AB27" i="21" s="1"/>
  <c r="R29" i="21"/>
  <c r="AC29" i="21" s="1"/>
  <c r="Q26" i="21"/>
  <c r="AB26" i="21" s="1"/>
  <c r="Q20" i="21"/>
  <c r="AB20" i="21" s="1"/>
  <c r="V28" i="21"/>
  <c r="AG28" i="21" s="1"/>
  <c r="Q28" i="21"/>
  <c r="AB28" i="21" s="1"/>
  <c r="S29" i="18"/>
  <c r="AD29" i="18" s="1"/>
  <c r="V29" i="21"/>
  <c r="AG29" i="21" s="1"/>
  <c r="AF51" i="19"/>
  <c r="AF52" i="19"/>
  <c r="R22" i="18"/>
  <c r="AC22" i="18" s="1"/>
  <c r="S22" i="21"/>
  <c r="AD22" i="21" s="1"/>
  <c r="AI40" i="19"/>
  <c r="L35" i="19"/>
  <c r="N39" i="19"/>
  <c r="AI44" i="19"/>
  <c r="T43" i="18"/>
  <c r="T30" i="18"/>
  <c r="AE30" i="18" s="1"/>
  <c r="AF38" i="19"/>
  <c r="AF37" i="19"/>
  <c r="V30" i="21"/>
  <c r="AG30" i="21" s="1"/>
  <c r="R30" i="21"/>
  <c r="AC30" i="21" s="1"/>
  <c r="AI47" i="19"/>
  <c r="R44" i="18"/>
  <c r="S44" i="18"/>
  <c r="P44" i="21"/>
  <c r="L40" i="19"/>
  <c r="Q30" i="21"/>
  <c r="AB30" i="21" s="1"/>
  <c r="N38" i="19"/>
  <c r="AF47" i="19"/>
  <c r="N50" i="19"/>
  <c r="N31" i="19"/>
  <c r="AF41" i="19"/>
  <c r="U30" i="18"/>
  <c r="AF30" i="18" s="1"/>
  <c r="R30" i="18"/>
  <c r="AC30" i="18" s="1"/>
  <c r="T44" i="21"/>
  <c r="L49" i="19"/>
  <c r="L50" i="19"/>
  <c r="Q44" i="21"/>
  <c r="Q43" i="21"/>
  <c r="AB43" i="21" s="1"/>
  <c r="N51" i="19"/>
  <c r="L46" i="19"/>
  <c r="N49" i="19"/>
  <c r="O44" i="18"/>
  <c r="S30" i="18"/>
  <c r="AD30" i="18" s="1"/>
  <c r="P30" i="21"/>
  <c r="AA30" i="21" s="1"/>
  <c r="N30" i="21"/>
  <c r="Y30" i="21" s="1"/>
  <c r="U30" i="21"/>
  <c r="AF30" i="21" s="1"/>
  <c r="Q30" i="18"/>
  <c r="AB30" i="18" s="1"/>
  <c r="O30" i="18"/>
  <c r="Z30" i="18" s="1"/>
  <c r="O30" i="21"/>
  <c r="Z30" i="21" s="1"/>
  <c r="P30" i="18"/>
  <c r="AA30" i="18" s="1"/>
  <c r="N30" i="18"/>
  <c r="Y30" i="18" s="1"/>
  <c r="AF36" i="19"/>
  <c r="T30" i="21"/>
  <c r="AE30" i="21" s="1"/>
  <c r="S30" i="21"/>
  <c r="AD30" i="21" s="1"/>
  <c r="V30" i="18"/>
  <c r="AG30" i="18" s="1"/>
  <c r="P43" i="18"/>
  <c r="U45" i="18"/>
  <c r="U45" i="21"/>
  <c r="Q45" i="18"/>
  <c r="Q45" i="21"/>
  <c r="T45" i="18"/>
  <c r="T45" i="21"/>
  <c r="N32" i="19"/>
  <c r="R45" i="18"/>
  <c r="R45" i="21"/>
  <c r="P45" i="18"/>
  <c r="P45" i="21"/>
  <c r="O45" i="18"/>
  <c r="O45" i="21"/>
  <c r="AF48" i="19"/>
  <c r="L42" i="19"/>
  <c r="N36" i="19"/>
  <c r="V45" i="18"/>
  <c r="V45" i="21"/>
  <c r="S45" i="18"/>
  <c r="S45" i="21"/>
  <c r="R43" i="18"/>
  <c r="R43" i="21"/>
  <c r="AC43" i="21" s="1"/>
  <c r="AF34" i="19"/>
  <c r="N33" i="19"/>
  <c r="N48" i="19"/>
  <c r="L44" i="19"/>
  <c r="N37" i="19"/>
  <c r="N45" i="19"/>
  <c r="N35" i="19"/>
  <c r="O43" i="21"/>
  <c r="Z43" i="21" s="1"/>
  <c r="V43" i="18"/>
  <c r="V43" i="21"/>
  <c r="AG43" i="21" s="1"/>
  <c r="S43" i="21"/>
  <c r="AD43" i="21" s="1"/>
  <c r="S43" i="18"/>
  <c r="AI34" i="19"/>
  <c r="AF45" i="19"/>
  <c r="AI41" i="19"/>
  <c r="N42" i="19"/>
  <c r="AF39" i="19"/>
  <c r="U43" i="18"/>
  <c r="U43" i="21"/>
  <c r="AF43" i="21" s="1"/>
  <c r="F31" i="18"/>
  <c r="K31" i="18"/>
  <c r="U17" i="21"/>
  <c r="AF17" i="21" s="1"/>
  <c r="I31" i="18"/>
  <c r="E31" i="18"/>
  <c r="J31" i="18"/>
  <c r="D31" i="18"/>
  <c r="C31" i="18"/>
  <c r="G31" i="18"/>
  <c r="AM4" i="19"/>
  <c r="AM31" i="19" s="1"/>
  <c r="AS17" i="19"/>
  <c r="AS44" i="19" s="1"/>
  <c r="AS3" i="19"/>
  <c r="AS30" i="19" s="1"/>
  <c r="Q51" i="19"/>
  <c r="Z24" i="19" s="1"/>
  <c r="Z51" i="19" s="1"/>
  <c r="AM16" i="19"/>
  <c r="AM43" i="19" s="1"/>
  <c r="AO4" i="19"/>
  <c r="AO31" i="19" s="1"/>
  <c r="V6" i="21"/>
  <c r="AG6" i="21" s="1"/>
  <c r="S15" i="18"/>
  <c r="AD15" i="18" s="1"/>
  <c r="S16" i="21"/>
  <c r="AD16" i="21" s="1"/>
  <c r="R15" i="18"/>
  <c r="AC15" i="18" s="1"/>
  <c r="S6" i="18"/>
  <c r="AD6" i="18" s="1"/>
  <c r="S14" i="21"/>
  <c r="AD14" i="21" s="1"/>
  <c r="Q21" i="21"/>
  <c r="AB21" i="21" s="1"/>
  <c r="T16" i="18"/>
  <c r="AE16" i="18" s="1"/>
  <c r="U15" i="18"/>
  <c r="AF15" i="18" s="1"/>
  <c r="Q7" i="18"/>
  <c r="AB7" i="18" s="1"/>
  <c r="T20" i="18"/>
  <c r="AE20" i="18" s="1"/>
  <c r="Q17" i="18"/>
  <c r="AB17" i="18" s="1"/>
  <c r="AM11" i="19"/>
  <c r="AM38" i="19" s="1"/>
  <c r="AM22" i="19"/>
  <c r="AM49" i="19" s="1"/>
  <c r="AM19" i="19"/>
  <c r="AM46" i="19" s="1"/>
  <c r="U9" i="18"/>
  <c r="AF9" i="18" s="1"/>
  <c r="U6" i="21"/>
  <c r="AF6" i="21" s="1"/>
  <c r="Q9" i="18"/>
  <c r="AB9" i="18" s="1"/>
  <c r="AM25" i="19"/>
  <c r="AM52" i="19" s="1"/>
  <c r="S11" i="21"/>
  <c r="AD11" i="21" s="1"/>
  <c r="AQ21" i="19"/>
  <c r="AQ48" i="19" s="1"/>
  <c r="V16" i="18"/>
  <c r="AG16" i="18" s="1"/>
  <c r="T16" i="21"/>
  <c r="AE16" i="21" s="1"/>
  <c r="S29" i="21"/>
  <c r="AD29" i="21" s="1"/>
  <c r="T29" i="21"/>
  <c r="AE29" i="21" s="1"/>
  <c r="T29" i="18"/>
  <c r="AE29" i="18" s="1"/>
  <c r="Q29" i="18"/>
  <c r="AB29" i="18" s="1"/>
  <c r="P29" i="18"/>
  <c r="AA29" i="18" s="1"/>
  <c r="N29" i="18"/>
  <c r="Y29" i="18" s="1"/>
  <c r="V29" i="18"/>
  <c r="AG29" i="18" s="1"/>
  <c r="R29" i="18"/>
  <c r="AC29" i="18" s="1"/>
  <c r="U29" i="18"/>
  <c r="AF29" i="18" s="1"/>
  <c r="Q29" i="21"/>
  <c r="AB29" i="21" s="1"/>
  <c r="O29" i="18"/>
  <c r="Z29" i="18" s="1"/>
  <c r="P29" i="21"/>
  <c r="AA29" i="21" s="1"/>
  <c r="N29" i="21"/>
  <c r="Y29" i="21" s="1"/>
  <c r="P27" i="21"/>
  <c r="AA27" i="21" s="1"/>
  <c r="R27" i="21"/>
  <c r="AC27" i="21" s="1"/>
  <c r="R28" i="18"/>
  <c r="AC28" i="18" s="1"/>
  <c r="S28" i="18"/>
  <c r="AD28" i="18" s="1"/>
  <c r="S26" i="18"/>
  <c r="AD26" i="18" s="1"/>
  <c r="P26" i="18"/>
  <c r="AA26" i="18" s="1"/>
  <c r="N26" i="18"/>
  <c r="Y26" i="18" s="1"/>
  <c r="Q26" i="18"/>
  <c r="AB26" i="18" s="1"/>
  <c r="T26" i="18"/>
  <c r="AE26" i="18" s="1"/>
  <c r="R26" i="18"/>
  <c r="AC26" i="18" s="1"/>
  <c r="T27" i="18"/>
  <c r="AE27" i="18" s="1"/>
  <c r="S27" i="18"/>
  <c r="AD27" i="18" s="1"/>
  <c r="P27" i="18"/>
  <c r="AA27" i="18" s="1"/>
  <c r="N27" i="18"/>
  <c r="Y27" i="18" s="1"/>
  <c r="R27" i="18"/>
  <c r="AC27" i="18" s="1"/>
  <c r="S33" i="19"/>
  <c r="AC6" i="19" s="1"/>
  <c r="T11" i="21"/>
  <c r="AE11" i="21" s="1"/>
  <c r="AS7" i="19"/>
  <c r="AS34" i="19" s="1"/>
  <c r="AQ22" i="19"/>
  <c r="AQ49" i="19" s="1"/>
  <c r="AS11" i="19"/>
  <c r="AS38" i="19" s="1"/>
  <c r="S42" i="19"/>
  <c r="AC15" i="19" s="1"/>
  <c r="AO20" i="19"/>
  <c r="AO47" i="19" s="1"/>
  <c r="U11" i="21"/>
  <c r="AF11" i="21" s="1"/>
  <c r="V27" i="18"/>
  <c r="AG27" i="18" s="1"/>
  <c r="U27" i="18"/>
  <c r="AF27" i="18" s="1"/>
  <c r="Q27" i="18"/>
  <c r="AB27" i="18" s="1"/>
  <c r="O27" i="18"/>
  <c r="Z27" i="18" s="1"/>
  <c r="P28" i="18"/>
  <c r="AA28" i="18" s="1"/>
  <c r="N28" i="18"/>
  <c r="Y28" i="18" s="1"/>
  <c r="Q28" i="18"/>
  <c r="AB28" i="18" s="1"/>
  <c r="T28" i="18"/>
  <c r="AE28" i="18" s="1"/>
  <c r="O28" i="18"/>
  <c r="Z28" i="18" s="1"/>
  <c r="V9" i="18"/>
  <c r="AG9" i="18" s="1"/>
  <c r="AQ20" i="19"/>
  <c r="AQ47" i="19" s="1"/>
  <c r="AO24" i="19"/>
  <c r="AO51" i="19" s="1"/>
  <c r="AM15" i="19"/>
  <c r="AM42" i="19" s="1"/>
  <c r="AM13" i="19"/>
  <c r="AM40" i="19" s="1"/>
  <c r="W50" i="19"/>
  <c r="AI23" i="19" s="1"/>
  <c r="AI50" i="19" s="1"/>
  <c r="W48" i="19"/>
  <c r="AI21" i="19" s="1"/>
  <c r="AI48" i="19" s="1"/>
  <c r="AQ10" i="19"/>
  <c r="AQ37" i="19" s="1"/>
  <c r="AM3" i="19"/>
  <c r="AM30" i="19" s="1"/>
  <c r="AQ19" i="19"/>
  <c r="AQ46" i="19" s="1"/>
  <c r="AM14" i="19"/>
  <c r="AM41" i="19" s="1"/>
  <c r="AQ7" i="19"/>
  <c r="AQ34" i="19" s="1"/>
  <c r="AO18" i="19"/>
  <c r="AO45" i="19" s="1"/>
  <c r="AQ3" i="19"/>
  <c r="AQ30" i="19" s="1"/>
  <c r="AS8" i="19"/>
  <c r="AS35" i="19" s="1"/>
  <c r="AS16" i="19"/>
  <c r="AS43" i="19" s="1"/>
  <c r="AQ24" i="19"/>
  <c r="AQ51" i="19" s="1"/>
  <c r="AS13" i="19"/>
  <c r="AS40" i="19" s="1"/>
  <c r="AS15" i="19"/>
  <c r="AS42" i="19" s="1"/>
  <c r="T5" i="18"/>
  <c r="AE5" i="18" s="1"/>
  <c r="AQ17" i="19"/>
  <c r="AQ44" i="19" s="1"/>
  <c r="AS14" i="19"/>
  <c r="AS41" i="19" s="1"/>
  <c r="AO5" i="19"/>
  <c r="AO32" i="19" s="1"/>
  <c r="U35" i="19"/>
  <c r="AF8" i="19" s="1"/>
  <c r="AF35" i="19" s="1"/>
  <c r="U31" i="19"/>
  <c r="AF4" i="19" s="1"/>
  <c r="AF31" i="19" s="1"/>
  <c r="AS9" i="19"/>
  <c r="AS36" i="19" s="1"/>
  <c r="AQ23" i="19"/>
  <c r="AQ50" i="19" s="1"/>
  <c r="AS24" i="19"/>
  <c r="AS51" i="19" s="1"/>
  <c r="T8" i="18"/>
  <c r="AE8" i="18" s="1"/>
  <c r="AO9" i="19"/>
  <c r="AO36" i="19" s="1"/>
  <c r="Q33" i="19"/>
  <c r="Z6" i="19" s="1"/>
  <c r="Z33" i="19" s="1"/>
  <c r="W33" i="19"/>
  <c r="AI6" i="19" s="1"/>
  <c r="AI33" i="19" s="1"/>
  <c r="AO7" i="19"/>
  <c r="AO34" i="19" s="1"/>
  <c r="T6" i="21"/>
  <c r="AE6" i="21" s="1"/>
  <c r="U33" i="19"/>
  <c r="AF6" i="19" s="1"/>
  <c r="AF33" i="19" s="1"/>
  <c r="AM23" i="19"/>
  <c r="AM50" i="19" s="1"/>
  <c r="S44" i="19"/>
  <c r="AC17" i="19" s="1"/>
  <c r="AO14" i="19"/>
  <c r="AO41" i="19" s="1"/>
  <c r="AO10" i="19"/>
  <c r="AO37" i="19" s="1"/>
  <c r="AO12" i="19"/>
  <c r="AO39" i="19" s="1"/>
  <c r="AQ11" i="19"/>
  <c r="AQ38" i="19" s="1"/>
  <c r="AQ9" i="19"/>
  <c r="AQ36" i="19" s="1"/>
  <c r="Q6" i="21"/>
  <c r="AB6" i="21" s="1"/>
  <c r="AO16" i="19"/>
  <c r="AO43" i="19" s="1"/>
  <c r="AS22" i="19"/>
  <c r="AS49" i="19" s="1"/>
  <c r="Q32" i="19"/>
  <c r="Z5" i="19" s="1"/>
  <c r="Z32" i="19" s="1"/>
  <c r="AO25" i="19"/>
  <c r="AO52" i="19" s="1"/>
  <c r="Q48" i="19"/>
  <c r="Z21" i="19" s="1"/>
  <c r="Z48" i="19" s="1"/>
  <c r="AQ12" i="19"/>
  <c r="AQ39" i="19" s="1"/>
  <c r="W37" i="19"/>
  <c r="AI10" i="19" s="1"/>
  <c r="AI37" i="19" s="1"/>
  <c r="W39" i="19"/>
  <c r="AI12" i="19" s="1"/>
  <c r="AI39" i="19" s="1"/>
  <c r="W46" i="19"/>
  <c r="AI19" i="19" s="1"/>
  <c r="AI46" i="19" s="1"/>
  <c r="Q34" i="19"/>
  <c r="Z7" i="19" s="1"/>
  <c r="Z34" i="19" s="1"/>
  <c r="P16" i="21"/>
  <c r="AA16" i="21" s="1"/>
  <c r="Q16" i="21"/>
  <c r="AB16" i="21" s="1"/>
  <c r="R16" i="21"/>
  <c r="AC16" i="21" s="1"/>
  <c r="O9" i="18"/>
  <c r="Z9" i="18" s="1"/>
  <c r="AO3" i="19"/>
  <c r="AO30" i="19" s="1"/>
  <c r="AM8" i="19"/>
  <c r="AM35" i="19" s="1"/>
  <c r="Q45" i="19"/>
  <c r="Z18" i="19" s="1"/>
  <c r="Z45" i="19" s="1"/>
  <c r="AO8" i="19"/>
  <c r="AO35" i="19" s="1"/>
  <c r="Q44" i="19"/>
  <c r="Z17" i="19" s="1"/>
  <c r="Z44" i="19" s="1"/>
  <c r="Q39" i="19"/>
  <c r="Z12" i="19" s="1"/>
  <c r="Z39" i="19" s="1"/>
  <c r="P14" i="18"/>
  <c r="AA14" i="18" s="1"/>
  <c r="U14" i="21"/>
  <c r="AF14" i="21" s="1"/>
  <c r="AO21" i="19"/>
  <c r="AO48" i="19" s="1"/>
  <c r="S38" i="19"/>
  <c r="AC11" i="19" s="1"/>
  <c r="U32" i="19"/>
  <c r="AF5" i="19" s="1"/>
  <c r="AF32" i="19" s="1"/>
  <c r="V8" i="18"/>
  <c r="AG8" i="18" s="1"/>
  <c r="S40" i="19"/>
  <c r="AC13" i="19" s="1"/>
  <c r="U16" i="21"/>
  <c r="AF16" i="21" s="1"/>
  <c r="V7" i="18"/>
  <c r="AG7" i="18" s="1"/>
  <c r="S46" i="19"/>
  <c r="AC19" i="19" s="1"/>
  <c r="Q10" i="21"/>
  <c r="AB10" i="21" s="1"/>
  <c r="R11" i="18"/>
  <c r="AC11" i="18" s="1"/>
  <c r="Q12" i="21"/>
  <c r="AB12" i="21" s="1"/>
  <c r="S8" i="21"/>
  <c r="AD8" i="21" s="1"/>
  <c r="R8" i="21"/>
  <c r="AC8" i="21" s="1"/>
  <c r="Q37" i="19"/>
  <c r="Z10" i="19" s="1"/>
  <c r="Z37" i="19" s="1"/>
  <c r="V11" i="18"/>
  <c r="AG11" i="18" s="1"/>
  <c r="S12" i="21"/>
  <c r="AD12" i="21" s="1"/>
  <c r="Q11" i="21"/>
  <c r="AB11" i="21" s="1"/>
  <c r="Q13" i="18"/>
  <c r="AB13" i="18" s="1"/>
  <c r="V9" i="21"/>
  <c r="AG9" i="21" s="1"/>
  <c r="U5" i="21"/>
  <c r="AF5" i="21" s="1"/>
  <c r="R14" i="21"/>
  <c r="AC14" i="21" s="1"/>
  <c r="R6" i="18"/>
  <c r="AC6" i="18" s="1"/>
  <c r="W52" i="19"/>
  <c r="AI25" i="19" s="1"/>
  <c r="AI52" i="19" s="1"/>
  <c r="Q36" i="19"/>
  <c r="Z9" i="19" s="1"/>
  <c r="Z36" i="19" s="1"/>
  <c r="AQ13" i="19"/>
  <c r="AQ40" i="19" s="1"/>
  <c r="N6" i="21"/>
  <c r="Y6" i="21" s="1"/>
  <c r="AQ14" i="19"/>
  <c r="AQ41" i="19" s="1"/>
  <c r="AQ18" i="19"/>
  <c r="AQ45" i="19" s="1"/>
  <c r="AM20" i="19"/>
  <c r="AM47" i="19" s="1"/>
  <c r="U42" i="19"/>
  <c r="AF15" i="19" s="1"/>
  <c r="AF42" i="19" s="1"/>
  <c r="W31" i="19"/>
  <c r="AI4" i="19" s="1"/>
  <c r="AI31" i="19" s="1"/>
  <c r="W45" i="19"/>
  <c r="AI18" i="19" s="1"/>
  <c r="AI45" i="19" s="1"/>
  <c r="W32" i="19"/>
  <c r="AI5" i="19" s="1"/>
  <c r="AI32" i="19" s="1"/>
  <c r="AO22" i="19"/>
  <c r="AO49" i="19" s="1"/>
  <c r="S50" i="19"/>
  <c r="AC23" i="19" s="1"/>
  <c r="U43" i="19"/>
  <c r="AF16" i="19" s="1"/>
  <c r="AF43" i="19" s="1"/>
  <c r="AQ25" i="19"/>
  <c r="AQ52" i="19" s="1"/>
  <c r="T25" i="18"/>
  <c r="AE25" i="18" s="1"/>
  <c r="Q25" i="18"/>
  <c r="AB25" i="18" s="1"/>
  <c r="S25" i="18"/>
  <c r="AD25" i="18" s="1"/>
  <c r="V22" i="21"/>
  <c r="AG22" i="21" s="1"/>
  <c r="R25" i="18"/>
  <c r="AC25" i="18" s="1"/>
  <c r="V23" i="21"/>
  <c r="AG23" i="21" s="1"/>
  <c r="S23" i="21"/>
  <c r="AD23" i="21" s="1"/>
  <c r="P25" i="18"/>
  <c r="AA25" i="18" s="1"/>
  <c r="N25" i="18"/>
  <c r="Y25" i="18" s="1"/>
  <c r="O25" i="18"/>
  <c r="Z25" i="18" s="1"/>
  <c r="P22" i="18"/>
  <c r="AA22" i="18" s="1"/>
  <c r="N22" i="18"/>
  <c r="Y22" i="18" s="1"/>
  <c r="P22" i="21"/>
  <c r="AA22" i="21" s="1"/>
  <c r="N22" i="21"/>
  <c r="Y22" i="21" s="1"/>
  <c r="T22" i="21"/>
  <c r="AE22" i="21" s="1"/>
  <c r="R21" i="21"/>
  <c r="AC21" i="21" s="1"/>
  <c r="V21" i="21"/>
  <c r="AG21" i="21" s="1"/>
  <c r="S21" i="21"/>
  <c r="AD21" i="21" s="1"/>
  <c r="V22" i="18"/>
  <c r="AG22" i="18" s="1"/>
  <c r="T22" i="18"/>
  <c r="AE22" i="18" s="1"/>
  <c r="Q22" i="18"/>
  <c r="AB22" i="18" s="1"/>
  <c r="Q22" i="21"/>
  <c r="AB22" i="21" s="1"/>
  <c r="U22" i="21"/>
  <c r="AF22" i="21" s="1"/>
  <c r="T21" i="18"/>
  <c r="AE21" i="18" s="1"/>
  <c r="O22" i="21"/>
  <c r="Z22" i="21" s="1"/>
  <c r="V8" i="21"/>
  <c r="AG8" i="21" s="1"/>
  <c r="T23" i="18"/>
  <c r="AE23" i="18" s="1"/>
  <c r="Q23" i="18"/>
  <c r="AB23" i="18" s="1"/>
  <c r="U23" i="18"/>
  <c r="AF23" i="18" s="1"/>
  <c r="Q23" i="21"/>
  <c r="AB23" i="21" s="1"/>
  <c r="R23" i="21"/>
  <c r="AC23" i="21" s="1"/>
  <c r="U23" i="21"/>
  <c r="AF23" i="21" s="1"/>
  <c r="O23" i="21"/>
  <c r="Z23" i="21" s="1"/>
  <c r="P23" i="18"/>
  <c r="AA23" i="18" s="1"/>
  <c r="N23" i="18"/>
  <c r="Y23" i="18" s="1"/>
  <c r="V23" i="18"/>
  <c r="AG23" i="18" s="1"/>
  <c r="S23" i="18"/>
  <c r="AD23" i="18" s="1"/>
  <c r="O23" i="18"/>
  <c r="Z23" i="18" s="1"/>
  <c r="P23" i="21"/>
  <c r="AA23" i="21" s="1"/>
  <c r="N23" i="21"/>
  <c r="Y23" i="21" s="1"/>
  <c r="T23" i="21"/>
  <c r="AE23" i="21" s="1"/>
  <c r="R23" i="18"/>
  <c r="AC23" i="18" s="1"/>
  <c r="Q12" i="18"/>
  <c r="AB12" i="18" s="1"/>
  <c r="P9" i="18"/>
  <c r="AA9" i="18" s="1"/>
  <c r="T12" i="18"/>
  <c r="AE12" i="18" s="1"/>
  <c r="Q18" i="21"/>
  <c r="AB18" i="21" s="1"/>
  <c r="V15" i="21"/>
  <c r="AG15" i="21" s="1"/>
  <c r="S9" i="18"/>
  <c r="AD9" i="18" s="1"/>
  <c r="P13" i="18"/>
  <c r="AA13" i="18" s="1"/>
  <c r="O20" i="21"/>
  <c r="Z20" i="21" s="1"/>
  <c r="O17" i="18"/>
  <c r="Z17" i="18" s="1"/>
  <c r="V19" i="18"/>
  <c r="AG19" i="18" s="1"/>
  <c r="T19" i="18"/>
  <c r="AE19" i="18" s="1"/>
  <c r="O6" i="21"/>
  <c r="Z6" i="21" s="1"/>
  <c r="P11" i="21"/>
  <c r="AA11" i="21" s="1"/>
  <c r="U10" i="21"/>
  <c r="AF10" i="21" s="1"/>
  <c r="U20" i="21"/>
  <c r="AF20" i="21" s="1"/>
  <c r="U7" i="18"/>
  <c r="AF7" i="18" s="1"/>
  <c r="U14" i="18"/>
  <c r="AF14" i="18" s="1"/>
  <c r="V10" i="18"/>
  <c r="AG10" i="18" s="1"/>
  <c r="V7" i="21"/>
  <c r="AG7" i="21" s="1"/>
  <c r="N7" i="21"/>
  <c r="Y7" i="21" s="1"/>
  <c r="P20" i="21"/>
  <c r="AA20" i="21" s="1"/>
  <c r="T20" i="21"/>
  <c r="AE20" i="21" s="1"/>
  <c r="R5" i="18"/>
  <c r="AC5" i="18" s="1"/>
  <c r="R6" i="21"/>
  <c r="AC6" i="21" s="1"/>
  <c r="S6" i="21"/>
  <c r="AD6" i="21" s="1"/>
  <c r="P12" i="18"/>
  <c r="AA12" i="18" s="1"/>
  <c r="V12" i="18"/>
  <c r="AG12" i="18" s="1"/>
  <c r="S21" i="18"/>
  <c r="AD21" i="18" s="1"/>
  <c r="U10" i="18"/>
  <c r="AF10" i="18" s="1"/>
  <c r="R12" i="18"/>
  <c r="AC12" i="18" s="1"/>
  <c r="T7" i="21"/>
  <c r="AE7" i="21" s="1"/>
  <c r="R13" i="21"/>
  <c r="AC13" i="21" s="1"/>
  <c r="P5" i="21"/>
  <c r="AA5" i="21" s="1"/>
  <c r="V12" i="21"/>
  <c r="AG12" i="21" s="1"/>
  <c r="P11" i="18"/>
  <c r="AA11" i="18" s="1"/>
  <c r="T11" i="18"/>
  <c r="AE11" i="18" s="1"/>
  <c r="O12" i="21"/>
  <c r="Z12" i="21" s="1"/>
  <c r="Q21" i="18"/>
  <c r="AB21" i="18" s="1"/>
  <c r="O21" i="21"/>
  <c r="Z21" i="21" s="1"/>
  <c r="U21" i="21"/>
  <c r="AF21" i="21" s="1"/>
  <c r="N21" i="21"/>
  <c r="Y21" i="21" s="1"/>
  <c r="P21" i="21"/>
  <c r="AA21" i="21" s="1"/>
  <c r="T21" i="21"/>
  <c r="AE21" i="21" s="1"/>
  <c r="N21" i="18"/>
  <c r="Y21" i="18" s="1"/>
  <c r="P21" i="18"/>
  <c r="AA21" i="18" s="1"/>
  <c r="R21" i="18"/>
  <c r="AC21" i="18" s="1"/>
  <c r="U21" i="18"/>
  <c r="AF21" i="18" s="1"/>
  <c r="V21" i="18"/>
  <c r="AG21" i="18" s="1"/>
  <c r="O21" i="18"/>
  <c r="Z21" i="18" s="1"/>
  <c r="Q14" i="21"/>
  <c r="AB14" i="21" s="1"/>
  <c r="P8" i="18"/>
  <c r="AA8" i="18" s="1"/>
  <c r="V5" i="21"/>
  <c r="AG5" i="21" s="1"/>
  <c r="P6" i="18"/>
  <c r="AA6" i="18" s="1"/>
  <c r="S24" i="18"/>
  <c r="AD24" i="18" s="1"/>
  <c r="T24" i="18"/>
  <c r="AE24" i="18" s="1"/>
  <c r="Q24" i="21"/>
  <c r="AB24" i="21" s="1"/>
  <c r="R24" i="21"/>
  <c r="AC24" i="21" s="1"/>
  <c r="U24" i="21"/>
  <c r="AF24" i="21" s="1"/>
  <c r="Q24" i="18"/>
  <c r="AB24" i="18" s="1"/>
  <c r="R24" i="18"/>
  <c r="AC24" i="18" s="1"/>
  <c r="U24" i="18"/>
  <c r="AF24" i="18" s="1"/>
  <c r="P24" i="18"/>
  <c r="AA24" i="18" s="1"/>
  <c r="N24" i="18"/>
  <c r="Y24" i="18" s="1"/>
  <c r="V24" i="18"/>
  <c r="AG24" i="18" s="1"/>
  <c r="V24" i="21"/>
  <c r="AG24" i="21" s="1"/>
  <c r="P24" i="21"/>
  <c r="AA24" i="21" s="1"/>
  <c r="N24" i="21"/>
  <c r="Y24" i="21" s="1"/>
  <c r="S24" i="21"/>
  <c r="AD24" i="21" s="1"/>
  <c r="T24" i="21"/>
  <c r="AE24" i="21" s="1"/>
  <c r="O24" i="21"/>
  <c r="Z24" i="21" s="1"/>
  <c r="R8" i="18"/>
  <c r="AC8" i="18" s="1"/>
  <c r="Q8" i="18"/>
  <c r="AB8" i="18" s="1"/>
  <c r="N20" i="21"/>
  <c r="Y20" i="21" s="1"/>
  <c r="P8" i="21"/>
  <c r="AA8" i="21" s="1"/>
  <c r="U13" i="21"/>
  <c r="AF13" i="21" s="1"/>
  <c r="S11" i="18"/>
  <c r="AD11" i="18" s="1"/>
  <c r="U12" i="21"/>
  <c r="AF12" i="21" s="1"/>
  <c r="S7" i="18"/>
  <c r="AD7" i="18" s="1"/>
  <c r="R20" i="21"/>
  <c r="AC20" i="21" s="1"/>
  <c r="S20" i="21"/>
  <c r="AD20" i="21" s="1"/>
  <c r="T13" i="18"/>
  <c r="AE13" i="18" s="1"/>
  <c r="N11" i="18"/>
  <c r="Y11" i="18" s="1"/>
  <c r="R12" i="21"/>
  <c r="AC12" i="21" s="1"/>
  <c r="V6" i="18"/>
  <c r="AG6" i="18" s="1"/>
  <c r="T18" i="18"/>
  <c r="AE18" i="18" s="1"/>
  <c r="U13" i="18"/>
  <c r="AF13" i="18" s="1"/>
  <c r="S10" i="18"/>
  <c r="AD10" i="18" s="1"/>
  <c r="T5" i="21"/>
  <c r="AE5" i="21" s="1"/>
  <c r="R10" i="21"/>
  <c r="AC10" i="21" s="1"/>
  <c r="Q11" i="18"/>
  <c r="AB11" i="18" s="1"/>
  <c r="R5" i="21"/>
  <c r="AC5" i="21" s="1"/>
  <c r="P15" i="21"/>
  <c r="AA15" i="21" s="1"/>
  <c r="V13" i="18"/>
  <c r="AG13" i="18" s="1"/>
  <c r="V18" i="18"/>
  <c r="AG18" i="18" s="1"/>
  <c r="T12" i="21"/>
  <c r="AE12" i="21" s="1"/>
  <c r="S15" i="21"/>
  <c r="AD15" i="21" s="1"/>
  <c r="U5" i="18"/>
  <c r="AF5" i="18" s="1"/>
  <c r="T14" i="18"/>
  <c r="AE14" i="18" s="1"/>
  <c r="Q10" i="18"/>
  <c r="AB10" i="18" s="1"/>
  <c r="P10" i="21"/>
  <c r="AA10" i="21" s="1"/>
  <c r="V10" i="21"/>
  <c r="AG10" i="21" s="1"/>
  <c r="O7" i="18"/>
  <c r="Z7" i="18" s="1"/>
  <c r="P10" i="18"/>
  <c r="AA10" i="18" s="1"/>
  <c r="O10" i="18"/>
  <c r="Z10" i="18" s="1"/>
  <c r="O14" i="18"/>
  <c r="Z14" i="18" s="1"/>
  <c r="O5" i="21"/>
  <c r="Z5" i="21" s="1"/>
  <c r="Q13" i="21"/>
  <c r="AB13" i="21" s="1"/>
  <c r="T13" i="21"/>
  <c r="AE13" i="21" s="1"/>
  <c r="U15" i="21"/>
  <c r="AF15" i="21" s="1"/>
  <c r="U7" i="21"/>
  <c r="AF7" i="21" s="1"/>
  <c r="T10" i="21"/>
  <c r="AE10" i="21" s="1"/>
  <c r="R18" i="18"/>
  <c r="AC18" i="18" s="1"/>
  <c r="P14" i="21"/>
  <c r="AA14" i="21" s="1"/>
  <c r="T6" i="18"/>
  <c r="AE6" i="18" s="1"/>
  <c r="Q5" i="18"/>
  <c r="AB5" i="18" s="1"/>
  <c r="V14" i="18"/>
  <c r="AG14" i="18" s="1"/>
  <c r="S5" i="18"/>
  <c r="AD5" i="18" s="1"/>
  <c r="R14" i="18"/>
  <c r="AC14" i="18" s="1"/>
  <c r="S13" i="21"/>
  <c r="AD13" i="21" s="1"/>
  <c r="Q15" i="21"/>
  <c r="AB15" i="21" s="1"/>
  <c r="U19" i="21"/>
  <c r="AF19" i="21" s="1"/>
  <c r="T19" i="21"/>
  <c r="AE19" i="21" s="1"/>
  <c r="S19" i="18"/>
  <c r="AD19" i="18" s="1"/>
  <c r="S7" i="21"/>
  <c r="AD7" i="21" s="1"/>
  <c r="T9" i="21"/>
  <c r="AE9" i="21" s="1"/>
  <c r="R7" i="18"/>
  <c r="AC7" i="18" s="1"/>
  <c r="O5" i="18"/>
  <c r="Z5" i="18" s="1"/>
  <c r="Q6" i="18"/>
  <c r="AB6" i="18" s="1"/>
  <c r="T8" i="21"/>
  <c r="AE8" i="21" s="1"/>
  <c r="U8" i="21"/>
  <c r="AF8" i="21" s="1"/>
  <c r="T7" i="18"/>
  <c r="AE7" i="18" s="1"/>
  <c r="V5" i="18"/>
  <c r="AG5" i="18" s="1"/>
  <c r="T14" i="21"/>
  <c r="AE14" i="21" s="1"/>
  <c r="S13" i="18"/>
  <c r="AD13" i="18" s="1"/>
  <c r="S18" i="21"/>
  <c r="AD18" i="21" s="1"/>
  <c r="Q17" i="21"/>
  <c r="AB17" i="21" s="1"/>
  <c r="V17" i="21"/>
  <c r="AG17" i="21" s="1"/>
  <c r="V18" i="21"/>
  <c r="AG18" i="21" s="1"/>
  <c r="Q18" i="18"/>
  <c r="AB18" i="18" s="1"/>
  <c r="T17" i="18"/>
  <c r="AE17" i="18" s="1"/>
  <c r="R19" i="21"/>
  <c r="AC19" i="21" s="1"/>
  <c r="V19" i="21"/>
  <c r="AG19" i="21" s="1"/>
  <c r="S19" i="21"/>
  <c r="AD19" i="21" s="1"/>
  <c r="Q19" i="21"/>
  <c r="AB19" i="21" s="1"/>
  <c r="Q19" i="18"/>
  <c r="AB19" i="18" s="1"/>
  <c r="N19" i="18"/>
  <c r="Y19" i="18" s="1"/>
  <c r="P19" i="18"/>
  <c r="AA19" i="18" s="1"/>
  <c r="O19" i="21"/>
  <c r="Z19" i="21" s="1"/>
  <c r="O19" i="18"/>
  <c r="Z19" i="18" s="1"/>
  <c r="N19" i="21"/>
  <c r="Y19" i="21" s="1"/>
  <c r="P19" i="21"/>
  <c r="AA19" i="21" s="1"/>
  <c r="R19" i="18"/>
  <c r="AC19" i="18" s="1"/>
  <c r="T17" i="21"/>
  <c r="AE17" i="21" s="1"/>
  <c r="U17" i="18"/>
  <c r="AF17" i="18" s="1"/>
  <c r="S17" i="18"/>
  <c r="AD17" i="18" s="1"/>
  <c r="R17" i="21"/>
  <c r="AC17" i="21" s="1"/>
  <c r="S17" i="21"/>
  <c r="AD17" i="21" s="1"/>
  <c r="N17" i="21"/>
  <c r="Y17" i="21" s="1"/>
  <c r="P17" i="21"/>
  <c r="AA17" i="21" s="1"/>
  <c r="V17" i="18"/>
  <c r="AG17" i="18" s="1"/>
  <c r="O17" i="21"/>
  <c r="Z17" i="21" s="1"/>
  <c r="R17" i="18"/>
  <c r="AC17" i="18" s="1"/>
  <c r="T18" i="21"/>
  <c r="AE18" i="21" s="1"/>
  <c r="N18" i="21"/>
  <c r="Y18" i="21" s="1"/>
  <c r="P18" i="21"/>
  <c r="AA18" i="21" s="1"/>
  <c r="N18" i="18"/>
  <c r="Y18" i="18" s="1"/>
  <c r="P18" i="18"/>
  <c r="AA18" i="18" s="1"/>
  <c r="O18" i="18"/>
  <c r="Z18" i="18" s="1"/>
  <c r="O18" i="21"/>
  <c r="Z18" i="21" s="1"/>
  <c r="R18" i="21"/>
  <c r="AC18" i="21" s="1"/>
  <c r="U18" i="21"/>
  <c r="AF18" i="21" s="1"/>
  <c r="V15" i="18"/>
  <c r="AG15" i="18" s="1"/>
  <c r="T15" i="18"/>
  <c r="AE15" i="18" s="1"/>
  <c r="Q15" i="18"/>
  <c r="AB15" i="18" s="1"/>
  <c r="O15" i="18"/>
  <c r="Z15" i="18" s="1"/>
  <c r="N15" i="18"/>
  <c r="Y15" i="18" s="1"/>
  <c r="P15" i="18"/>
  <c r="AA15" i="18" s="1"/>
  <c r="O13" i="21"/>
  <c r="Z13" i="21" s="1"/>
  <c r="R9" i="21"/>
  <c r="AC9" i="21" s="1"/>
  <c r="P9" i="21"/>
  <c r="AA9" i="21" s="1"/>
  <c r="Q9" i="21"/>
  <c r="AB9" i="21" s="1"/>
  <c r="S20" i="18"/>
  <c r="AD20" i="18" s="1"/>
  <c r="Q7" i="21"/>
  <c r="AB7" i="21" s="1"/>
  <c r="N13" i="21"/>
  <c r="Y13" i="21" s="1"/>
  <c r="P13" i="21"/>
  <c r="AA13" i="21" s="1"/>
  <c r="O7" i="21"/>
  <c r="Z7" i="21" s="1"/>
  <c r="R7" i="21"/>
  <c r="AC7" i="21" s="1"/>
  <c r="R16" i="18"/>
  <c r="AC16" i="18" s="1"/>
  <c r="S16" i="18"/>
  <c r="AD16" i="18" s="1"/>
  <c r="Q20" i="18"/>
  <c r="AB20" i="18" s="1"/>
  <c r="Q16" i="18"/>
  <c r="AB16" i="18" s="1"/>
  <c r="U16" i="18"/>
  <c r="AF16" i="18" s="1"/>
  <c r="N16" i="18"/>
  <c r="Y16" i="18" s="1"/>
  <c r="P16" i="18"/>
  <c r="AA16" i="18" s="1"/>
  <c r="O16" i="18"/>
  <c r="Z16" i="18" s="1"/>
  <c r="V20" i="18"/>
  <c r="AG20" i="18" s="1"/>
  <c r="U20" i="18"/>
  <c r="AF20" i="18" s="1"/>
  <c r="R20" i="18"/>
  <c r="AC20" i="18" s="1"/>
  <c r="O20" i="18"/>
  <c r="Z20" i="18" s="1"/>
  <c r="AI30" i="19" l="1"/>
  <c r="AF30" i="19"/>
  <c r="AC40" i="19"/>
  <c r="AC42" i="19"/>
  <c r="AC38" i="19"/>
  <c r="AC31" i="19"/>
  <c r="AC32" i="19"/>
  <c r="AC48" i="19"/>
  <c r="AC41" i="19"/>
  <c r="AC39" i="19"/>
  <c r="AC49" i="19"/>
  <c r="AC47" i="19"/>
  <c r="AC36" i="19"/>
  <c r="AC43" i="19"/>
  <c r="AC34" i="19"/>
  <c r="AC30" i="19"/>
  <c r="AC35" i="19"/>
  <c r="AC51" i="19"/>
  <c r="AC45" i="19"/>
  <c r="AC37" i="19"/>
  <c r="AC52" i="19"/>
  <c r="AC50" i="19"/>
  <c r="AC33" i="19"/>
  <c r="AC46" i="19"/>
  <c r="AC44" i="19"/>
  <c r="X42" i="21"/>
  <c r="X42" i="18"/>
  <c r="X41" i="21"/>
  <c r="X41" i="18"/>
  <c r="X38" i="18"/>
  <c r="X40" i="18"/>
  <c r="X40" i="21"/>
  <c r="X38" i="21"/>
  <c r="X34" i="18"/>
  <c r="X34" i="21"/>
  <c r="X32" i="18"/>
  <c r="X32" i="21"/>
  <c r="X37" i="18"/>
  <c r="X37" i="21"/>
  <c r="X36" i="18"/>
  <c r="X35" i="21"/>
  <c r="X36" i="21"/>
  <c r="X39" i="21"/>
  <c r="X35" i="18"/>
  <c r="X39" i="18"/>
  <c r="X25" i="21"/>
  <c r="X33" i="18"/>
  <c r="X33" i="21"/>
  <c r="X31" i="21"/>
  <c r="N31" i="18"/>
  <c r="Y31" i="18" s="1"/>
  <c r="Y44" i="18" s="1"/>
  <c r="P31" i="18"/>
  <c r="AA31" i="18" s="1"/>
  <c r="AA44" i="18" s="1"/>
  <c r="V31" i="18"/>
  <c r="AG31" i="18" s="1"/>
  <c r="AG44" i="18" s="1"/>
  <c r="Q31" i="18"/>
  <c r="AB31" i="18" s="1"/>
  <c r="AB44" i="18" s="1"/>
  <c r="O31" i="18"/>
  <c r="Z31" i="18" s="1"/>
  <c r="Z44" i="18" s="1"/>
  <c r="U31" i="18"/>
  <c r="AF31" i="18" s="1"/>
  <c r="AF44" i="18" s="1"/>
  <c r="T31" i="18"/>
  <c r="AE31" i="18" s="1"/>
  <c r="AE44" i="18" s="1"/>
  <c r="R31" i="18"/>
  <c r="AC31" i="18" s="1"/>
  <c r="AC44" i="18" s="1"/>
  <c r="S31" i="18"/>
  <c r="AD31" i="18" s="1"/>
  <c r="AD44" i="18" s="1"/>
  <c r="X26" i="21"/>
  <c r="X28" i="21"/>
  <c r="X30" i="18"/>
  <c r="X30" i="21"/>
  <c r="X29" i="21"/>
  <c r="X29" i="18"/>
  <c r="X27" i="21"/>
  <c r="X27" i="18"/>
  <c r="X28" i="18"/>
  <c r="X26" i="18"/>
  <c r="F10" i="1"/>
  <c r="X11" i="21"/>
  <c r="F9" i="1"/>
  <c r="X25" i="18"/>
  <c r="X23" i="21"/>
  <c r="X9" i="18"/>
  <c r="X23" i="18"/>
  <c r="X6" i="21"/>
  <c r="X12" i="18"/>
  <c r="X12" i="21"/>
  <c r="X6" i="18"/>
  <c r="X14" i="18"/>
  <c r="X8" i="18"/>
  <c r="X11" i="18"/>
  <c r="X7" i="18"/>
  <c r="X10" i="21"/>
  <c r="X24" i="18"/>
  <c r="X24" i="21"/>
  <c r="X14" i="21"/>
  <c r="X10" i="18"/>
  <c r="X5" i="21"/>
  <c r="X13" i="18"/>
  <c r="X8" i="21"/>
  <c r="X5" i="18"/>
  <c r="AF45" i="21"/>
  <c r="AD45" i="21"/>
  <c r="X17" i="18"/>
  <c r="AE45" i="21"/>
  <c r="AA45" i="21"/>
  <c r="AB45" i="21"/>
  <c r="X19" i="18"/>
  <c r="AG45" i="21"/>
  <c r="X18" i="18"/>
  <c r="X18" i="21"/>
  <c r="Y45" i="21"/>
  <c r="AC45" i="21"/>
  <c r="X17" i="21"/>
  <c r="Z45" i="21"/>
  <c r="X13" i="21"/>
  <c r="X7" i="21"/>
  <c r="X9" i="21"/>
  <c r="X19" i="21"/>
  <c r="X20" i="21"/>
  <c r="X20" i="18"/>
  <c r="X15" i="18"/>
  <c r="X15" i="21"/>
  <c r="X16" i="21"/>
  <c r="X21" i="21"/>
  <c r="X22" i="18"/>
  <c r="X16" i="18"/>
  <c r="X21" i="18"/>
  <c r="X22" i="21"/>
  <c r="X31" i="18" l="1"/>
  <c r="F11" i="1" s="1"/>
  <c r="G12" i="1"/>
  <c r="G11" i="1"/>
  <c r="F12" i="1"/>
</calcChain>
</file>

<file path=xl/sharedStrings.xml><?xml version="1.0" encoding="utf-8"?>
<sst xmlns="http://schemas.openxmlformats.org/spreadsheetml/2006/main" count="1733" uniqueCount="574">
  <si>
    <t>AA 3 letter</t>
  </si>
  <si>
    <t>Ala</t>
  </si>
  <si>
    <t>MW(prot)</t>
  </si>
  <si>
    <t>MW(unpro)</t>
  </si>
  <si>
    <t>H</t>
  </si>
  <si>
    <t>Ile</t>
  </si>
  <si>
    <t>Leu</t>
  </si>
  <si>
    <t>K</t>
  </si>
  <si>
    <t>Met</t>
  </si>
  <si>
    <t>Phe</t>
  </si>
  <si>
    <t>Pro</t>
  </si>
  <si>
    <t>Trp</t>
  </si>
  <si>
    <t>Val</t>
  </si>
  <si>
    <t>Exact Mass (pro)</t>
  </si>
  <si>
    <t>Exact Mass(pro)</t>
  </si>
  <si>
    <t>Exact Mass (unpro)</t>
  </si>
  <si>
    <t>H+</t>
  </si>
  <si>
    <t>Na+</t>
  </si>
  <si>
    <t>K+</t>
  </si>
  <si>
    <t>2H+</t>
  </si>
  <si>
    <t>2Na+</t>
  </si>
  <si>
    <t>2K+</t>
  </si>
  <si>
    <t>H+Na</t>
  </si>
  <si>
    <t>Na+K</t>
  </si>
  <si>
    <t>H+K</t>
  </si>
  <si>
    <t>3H+</t>
  </si>
  <si>
    <t>1H+2Na</t>
  </si>
  <si>
    <t>2H+Na</t>
  </si>
  <si>
    <t>Protected</t>
  </si>
  <si>
    <t>Unprotected</t>
  </si>
  <si>
    <t>Na</t>
  </si>
  <si>
    <t>Fragmentation</t>
  </si>
  <si>
    <t>Glu(OtBu)</t>
  </si>
  <si>
    <t>Ser(tBu)</t>
  </si>
  <si>
    <t>Arg(Pbf)</t>
  </si>
  <si>
    <t>Gln(Trt)</t>
  </si>
  <si>
    <t>Hao</t>
  </si>
  <si>
    <t>Asn(Trt)</t>
  </si>
  <si>
    <t>Asp(tBu)</t>
  </si>
  <si>
    <t>Gly</t>
  </si>
  <si>
    <t>His(Boc)</t>
  </si>
  <si>
    <t>Cys(Trt)</t>
  </si>
  <si>
    <t>Ions</t>
  </si>
  <si>
    <t>AA</t>
  </si>
  <si>
    <t>Uprotected</t>
  </si>
  <si>
    <t>Cycle(pro)</t>
  </si>
  <si>
    <t>Cycle(unpro)</t>
  </si>
  <si>
    <t>Ion Peaks Linear Peptide</t>
  </si>
  <si>
    <t>Ion Peaks Cyclic Peptide</t>
  </si>
  <si>
    <t>2H+ Protected</t>
  </si>
  <si>
    <t>2Na+ Protected</t>
  </si>
  <si>
    <t>H+Na+ Protected</t>
  </si>
  <si>
    <t>Na+ Protected</t>
  </si>
  <si>
    <t>H+ Protected</t>
  </si>
  <si>
    <t>Linear M+ Ion</t>
  </si>
  <si>
    <t>Cyclic M+ Ion</t>
  </si>
  <si>
    <t>Thr(tBu)</t>
  </si>
  <si>
    <t>Lys(Boc)</t>
  </si>
  <si>
    <t>Orn(Boc)</t>
  </si>
  <si>
    <t>AAA-NMe2</t>
  </si>
  <si>
    <t>Tyr(tBu)</t>
  </si>
  <si>
    <t>Difference of 1 AA</t>
  </si>
  <si>
    <t>4H+</t>
  </si>
  <si>
    <t>2H+2Na</t>
  </si>
  <si>
    <t>3H+Na</t>
  </si>
  <si>
    <t>1H+3Na</t>
  </si>
  <si>
    <t>4Na</t>
  </si>
  <si>
    <t>5H+</t>
  </si>
  <si>
    <t>4H+Na</t>
  </si>
  <si>
    <t>3H+2Na</t>
  </si>
  <si>
    <t>2H+3Na</t>
  </si>
  <si>
    <t>1H+4Na</t>
  </si>
  <si>
    <t>5Na</t>
  </si>
  <si>
    <t>&lt;---Cyclic?</t>
  </si>
  <si>
    <t>Yes</t>
  </si>
  <si>
    <t>No</t>
  </si>
  <si>
    <t>&lt;---Protected?</t>
  </si>
  <si>
    <t>Your Amino Acid is:</t>
  </si>
  <si>
    <t>Abc(2KBoc)</t>
  </si>
  <si>
    <t>2H+Na+</t>
  </si>
  <si>
    <t>H+2Na+</t>
  </si>
  <si>
    <t>3Na+</t>
  </si>
  <si>
    <t>Linear</t>
  </si>
  <si>
    <t>linear</t>
  </si>
  <si>
    <t>unprotected</t>
  </si>
  <si>
    <t>dimer</t>
  </si>
  <si>
    <t>trimer</t>
  </si>
  <si>
    <t>Quat</t>
  </si>
  <si>
    <t>quat</t>
  </si>
  <si>
    <t>Cyclic</t>
  </si>
  <si>
    <t>Charge</t>
  </si>
  <si>
    <t>Dimer</t>
  </si>
  <si>
    <t>Trimer</t>
  </si>
  <si>
    <t>Tetramer</t>
  </si>
  <si>
    <t>Monomer</t>
  </si>
  <si>
    <t>Single Deletion</t>
  </si>
  <si>
    <t>Aggregate</t>
  </si>
  <si>
    <t>Fmoc</t>
  </si>
  <si>
    <t>&lt;---Enter MS Peak</t>
  </si>
  <si>
    <t>Enter MS Peak</t>
  </si>
  <si>
    <t>Acetate</t>
  </si>
  <si>
    <t>Single Addition</t>
  </si>
  <si>
    <t>mM</t>
  </si>
  <si>
    <t>mg needed</t>
  </si>
  <si>
    <t>Ser(Ac)</t>
  </si>
  <si>
    <t>monomer</t>
  </si>
  <si>
    <t>Cyclic Protected</t>
  </si>
  <si>
    <t>Peptide:</t>
  </si>
  <si>
    <t>Initial Resin Amount (g)</t>
  </si>
  <si>
    <t>Loading AA (mmol)</t>
  </si>
  <si>
    <t>Expected % Loading</t>
  </si>
  <si>
    <t>Pick Start AA--&gt;</t>
  </si>
  <si>
    <t>Boc-Orn(Fmoc)-OH</t>
  </si>
  <si>
    <t>MW</t>
  </si>
  <si>
    <t>Max Resin Loading (mmol/g)</t>
  </si>
  <si>
    <t>Amount needed (mg)</t>
  </si>
  <si>
    <t>Observed Absorbance</t>
  </si>
  <si>
    <t>mmol/g loaded</t>
  </si>
  <si>
    <t>Weighed Out Sample (mg)</t>
  </si>
  <si>
    <t>%loaded</t>
  </si>
  <si>
    <t>Loading mmol</t>
  </si>
  <si>
    <t>Amino Acids</t>
  </si>
  <si>
    <t>Equiv</t>
  </si>
  <si>
    <t>(mg)</t>
  </si>
  <si>
    <t>Fmoc-Abc-OH</t>
  </si>
  <si>
    <t>Fmoc-Lys(Boc)-OH</t>
  </si>
  <si>
    <t>Fmoc-Leu-OH</t>
  </si>
  <si>
    <t>Fmoc-Val-OH</t>
  </si>
  <si>
    <t>Fmoc-Phe-OH</t>
  </si>
  <si>
    <t>Fmoc-Ala-OH</t>
  </si>
  <si>
    <t>Fmoc-Glu(OtBu)-OH</t>
  </si>
  <si>
    <t>HCTU</t>
  </si>
  <si>
    <t>Fmoc-Arg(Pbf)-OH</t>
  </si>
  <si>
    <t>Fmoc-Asn(Trt)-OH</t>
  </si>
  <si>
    <t>Fmoc-Asp(tBu)-OH</t>
  </si>
  <si>
    <t>Fmoc-Cys(Trt)-OH</t>
  </si>
  <si>
    <t>Fmoc-Gln(Trt)-OH</t>
  </si>
  <si>
    <t>Fmoc-Gly-OH</t>
  </si>
  <si>
    <t>Fmoc-His(Boc)-OH</t>
  </si>
  <si>
    <t>Fmoc-Ile-OH</t>
  </si>
  <si>
    <t>Boc-Lys(Fmoc)-OH</t>
  </si>
  <si>
    <t>Fmoc-Met-OH</t>
  </si>
  <si>
    <t>Fmoc-Pro-OH</t>
  </si>
  <si>
    <t>Fmoc-Ser(tBu)-OH</t>
  </si>
  <si>
    <t>Fmoc-Thr(tBu)-OH</t>
  </si>
  <si>
    <t>Fmoc-Trp-OH</t>
  </si>
  <si>
    <t>Fmoc-Tyr(tBu)-OH</t>
  </si>
  <si>
    <t>Fmoc-AAA-NMe2</t>
  </si>
  <si>
    <t>Fmoc-Hao-OH</t>
  </si>
  <si>
    <t>Lys(Fmoc)</t>
  </si>
  <si>
    <t>MW(Fmoc)</t>
  </si>
  <si>
    <t>Fmoc-Ser(Ac)</t>
  </si>
  <si>
    <t>-</t>
  </si>
  <si>
    <t>HBTU</t>
  </si>
  <si>
    <t>HOAt</t>
  </si>
  <si>
    <t>AA Sequence</t>
  </si>
  <si>
    <t>ULTIMATE MASS SPEC CALCULATOR!!!!!!!!!</t>
  </si>
  <si>
    <t>Max Recovery (mg)</t>
  </si>
  <si>
    <t xml:space="preserve"> </t>
  </si>
  <si>
    <t>Triflate</t>
  </si>
  <si>
    <t>Recovered</t>
  </si>
  <si>
    <t>Recovered mmol</t>
  </si>
  <si>
    <t>volume</t>
  </si>
  <si>
    <t>Fmoc-N-Methyl-Val-OH</t>
  </si>
  <si>
    <t>N-Meth-Val</t>
  </si>
  <si>
    <t>HATU</t>
  </si>
  <si>
    <t>HOBt</t>
  </si>
  <si>
    <t>DIPEA uL</t>
  </si>
  <si>
    <t>equiv</t>
  </si>
  <si>
    <t>Fmoc-N-Methyl-Gly-OH</t>
  </si>
  <si>
    <t>N-Meth-Gly</t>
  </si>
  <si>
    <t>Fmoc-N-Methyl-Ala-OH</t>
  </si>
  <si>
    <t>N-Meth-Ala</t>
  </si>
  <si>
    <t>Molecular Weight</t>
  </si>
  <si>
    <t>water</t>
  </si>
  <si>
    <t>molecular weight with water</t>
  </si>
  <si>
    <t>Molecular Weight w/TFA</t>
  </si>
  <si>
    <t>Hydrophobicity</t>
  </si>
  <si>
    <t xml:space="preserve">Ala </t>
  </si>
  <si>
    <t xml:space="preserve">0.17 ± 0.06 </t>
  </si>
  <si>
    <t xml:space="preserve">0.50 ± 0.12 </t>
  </si>
  <si>
    <t>0.33 ± 0.12</t>
  </si>
  <si>
    <t xml:space="preserve">Arg+ </t>
  </si>
  <si>
    <t xml:space="preserve">0.81 ± 0.11 </t>
  </si>
  <si>
    <t xml:space="preserve">1.81 ± 0.13 </t>
  </si>
  <si>
    <t>1.00 ± 0.17</t>
  </si>
  <si>
    <t xml:space="preserve">Asn </t>
  </si>
  <si>
    <t xml:space="preserve">0.42 ± 0.06 </t>
  </si>
  <si>
    <t xml:space="preserve">0.85 ± 0.12 </t>
  </si>
  <si>
    <t>0.43 ± 0.13</t>
  </si>
  <si>
    <t xml:space="preserve">Asp- </t>
  </si>
  <si>
    <t xml:space="preserve">1.23 ± 0.07 </t>
  </si>
  <si>
    <t xml:space="preserve">3.64 ± 0.17 </t>
  </si>
  <si>
    <t>2.41 ± 0.18</t>
  </si>
  <si>
    <t xml:space="preserve">Asp0 </t>
  </si>
  <si>
    <t xml:space="preserve">-0.07 ± 0.11 </t>
  </si>
  <si>
    <t xml:space="preserve">0.43 ± 0.13 </t>
  </si>
  <si>
    <t>0.50 ± 0.17</t>
  </si>
  <si>
    <t xml:space="preserve">Cys </t>
  </si>
  <si>
    <t xml:space="preserve">-0.24 ± 0.06 </t>
  </si>
  <si>
    <t xml:space="preserve">-0.02 ± 0.13 </t>
  </si>
  <si>
    <t>0.22 ± 0.14</t>
  </si>
  <si>
    <t xml:space="preserve">Gln </t>
  </si>
  <si>
    <t xml:space="preserve">0.58 ± 0.08 </t>
  </si>
  <si>
    <t xml:space="preserve">0.77 ± 0.12 </t>
  </si>
  <si>
    <t>0.19 ± 0.14</t>
  </si>
  <si>
    <t xml:space="preserve">Glu- </t>
  </si>
  <si>
    <t xml:space="preserve">2.02 ± 0.11 </t>
  </si>
  <si>
    <t xml:space="preserve">3.63 ± 0.18 </t>
  </si>
  <si>
    <t>1.61 ± 0.21</t>
  </si>
  <si>
    <t xml:space="preserve">Glu0 </t>
  </si>
  <si>
    <t xml:space="preserve">-0.01 ± 0.15 </t>
  </si>
  <si>
    <t xml:space="preserve">0.11 ± 0.12 </t>
  </si>
  <si>
    <t>0.12 ± 0.19</t>
  </si>
  <si>
    <t xml:space="preserve">Gly </t>
  </si>
  <si>
    <t xml:space="preserve">0.01 ± 0.05 </t>
  </si>
  <si>
    <t xml:space="preserve">1.15 ± 0.11 </t>
  </si>
  <si>
    <t>1.14 ± 0.12</t>
  </si>
  <si>
    <t xml:space="preserve">His+ </t>
  </si>
  <si>
    <t xml:space="preserve">0.96 ± 0.12 </t>
  </si>
  <si>
    <t xml:space="preserve">2.33 ± 0.11 </t>
  </si>
  <si>
    <t>1.37 ± 0.16</t>
  </si>
  <si>
    <t xml:space="preserve">His0 </t>
  </si>
  <si>
    <t xml:space="preserve">0.11 ± 0.11 </t>
  </si>
  <si>
    <t>-0.06 ± 0.13</t>
  </si>
  <si>
    <t xml:space="preserve">Ile </t>
  </si>
  <si>
    <t xml:space="preserve">-0.31 ± 0.06 </t>
  </si>
  <si>
    <t xml:space="preserve">-1.12 ± 0.11 </t>
  </si>
  <si>
    <t>-0.81 ± 0.13</t>
  </si>
  <si>
    <t xml:space="preserve">Leu </t>
  </si>
  <si>
    <t xml:space="preserve">-0.56 ± 0.04 </t>
  </si>
  <si>
    <t xml:space="preserve">-1.25 ± 0.11 </t>
  </si>
  <si>
    <t>-0.69 ±0.12</t>
  </si>
  <si>
    <t xml:space="preserve">Lys+ </t>
  </si>
  <si>
    <t xml:space="preserve">0.99 ± 0.11 </t>
  </si>
  <si>
    <t xml:space="preserve">2.80 ± 0.11 </t>
  </si>
  <si>
    <t>1.81 ± 0.16</t>
  </si>
  <si>
    <t xml:space="preserve">Met </t>
  </si>
  <si>
    <t xml:space="preserve">-0.23 ± 0.06 </t>
  </si>
  <si>
    <t xml:space="preserve">-0.67 ± 0.11 </t>
  </si>
  <si>
    <t>-0.44 ±0.13</t>
  </si>
  <si>
    <t xml:space="preserve">Phe </t>
  </si>
  <si>
    <t xml:space="preserve">-1.13 ± 0.05 </t>
  </si>
  <si>
    <t xml:space="preserve">-1.71 ± 0.11 </t>
  </si>
  <si>
    <t>-0.58 ± 0.12</t>
  </si>
  <si>
    <t xml:space="preserve">Pro </t>
  </si>
  <si>
    <t xml:space="preserve">0.45 ± 0.12 </t>
  </si>
  <si>
    <t xml:space="preserve">0.14 ± 0.11 </t>
  </si>
  <si>
    <t>-0.31 ± 0.16</t>
  </si>
  <si>
    <t xml:space="preserve">Ser </t>
  </si>
  <si>
    <t xml:space="preserve">0.13 ± 0.08 </t>
  </si>
  <si>
    <t xml:space="preserve">0.46 ± 0.11 </t>
  </si>
  <si>
    <t>0.33 ± 0.14</t>
  </si>
  <si>
    <t xml:space="preserve">Thr </t>
  </si>
  <si>
    <t xml:space="preserve">0.14 ± 0.06 </t>
  </si>
  <si>
    <t xml:space="preserve">0.25 ± 0.11 </t>
  </si>
  <si>
    <t>0.11 ± 0.13</t>
  </si>
  <si>
    <t xml:space="preserve">Trp </t>
  </si>
  <si>
    <t xml:space="preserve">-1.85 ± 0.06 </t>
  </si>
  <si>
    <t xml:space="preserve">-2.09 ± 0.11 </t>
  </si>
  <si>
    <t>-0.24 ± 0.13</t>
  </si>
  <si>
    <t xml:space="preserve">Tyr </t>
  </si>
  <si>
    <t xml:space="preserve">-0.94 ± 0.06 </t>
  </si>
  <si>
    <t xml:space="preserve">-0.71 ± 0.11 </t>
  </si>
  <si>
    <t>0.23 ± 0.13</t>
  </si>
  <si>
    <t xml:space="preserve">Val </t>
  </si>
  <si>
    <t xml:space="preserve">0.07 ± 0.05 </t>
  </si>
  <si>
    <t xml:space="preserve">-0.46 ± 0.11 </t>
  </si>
  <si>
    <t xml:space="preserve">-0.53 ± 0.12 </t>
  </si>
  <si>
    <t>interface</t>
  </si>
  <si>
    <t>octanol</t>
  </si>
  <si>
    <t>octanol-interface</t>
  </si>
  <si>
    <t>Alanine             1.8          -0.5</t>
  </si>
  <si>
    <t>Arginine           -4.5           3.0</t>
  </si>
  <si>
    <t>Asparagine         -3.5           0.2</t>
  </si>
  <si>
    <t>Aspartic acid      -3.5           3.0</t>
  </si>
  <si>
    <t>Cysteine            2.5          -1.0</t>
  </si>
  <si>
    <t>Glutamine          -3.5           0.2</t>
  </si>
  <si>
    <t>Glutamic acid      -3.5           3.0</t>
  </si>
  <si>
    <t>Glycine            -0.4           0.0</t>
  </si>
  <si>
    <t>Histidine          -3.2          -0.5</t>
  </si>
  <si>
    <t>Isoleucine          4.5          -1.8</t>
  </si>
  <si>
    <t>Leucine             3.8          -1.8</t>
  </si>
  <si>
    <t>Lysine             -3.9           3.0</t>
  </si>
  <si>
    <t>Methionine          1.9          -1.3</t>
  </si>
  <si>
    <t>Phenylalanine       2.8          -2.5</t>
  </si>
  <si>
    <t>Proline            -1.6           0.0</t>
  </si>
  <si>
    <t>Serine             -0.8           0.3</t>
  </si>
  <si>
    <t>Threonine          -0.7          -0.4</t>
  </si>
  <si>
    <t>Tryptophan         -0.9          -3.4</t>
  </si>
  <si>
    <t>Tyrosine           -1.3          -2.3</t>
  </si>
  <si>
    <t>Valine              4.2          -1.5</t>
  </si>
  <si>
    <t>c-logP</t>
  </si>
  <si>
    <t>mL</t>
  </si>
  <si>
    <t>mg</t>
  </si>
  <si>
    <t>total concentration</t>
  </si>
  <si>
    <r>
      <t>Fmoc-Phe(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Br)-OH</t>
    </r>
  </si>
  <si>
    <t>Phe-Br</t>
  </si>
  <si>
    <t>Program</t>
  </si>
  <si>
    <t>Fmoc-N-Methyl-Phe-OH</t>
  </si>
  <si>
    <t>N-Meth-Phe</t>
  </si>
  <si>
    <t>Fmoc-N-Methyl-Tyr(tBu)-OH</t>
  </si>
  <si>
    <t>N-Meth-Tyr</t>
  </si>
  <si>
    <t>N-Meth-Leu</t>
  </si>
  <si>
    <t>Fmoc-N-Methyl-Leu-OH</t>
  </si>
  <si>
    <t>Fmoc-cHex-OH</t>
  </si>
  <si>
    <t>cHex</t>
  </si>
  <si>
    <r>
      <t>Fmoc-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Leu-OH</t>
    </r>
  </si>
  <si>
    <r>
      <t>Fmoc-Phe(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I)-OH</t>
    </r>
  </si>
  <si>
    <t>Phe-I</t>
  </si>
  <si>
    <r>
      <t>n</t>
    </r>
    <r>
      <rPr>
        <sz val="11"/>
        <color theme="1"/>
        <rFont val="Calibri"/>
        <family val="2"/>
        <scheme val="minor"/>
      </rPr>
      <t>-Leu</t>
    </r>
  </si>
  <si>
    <t>Carbons</t>
  </si>
  <si>
    <t>Hydrogens</t>
  </si>
  <si>
    <t>Nitrogen</t>
  </si>
  <si>
    <t>Oxygen</t>
  </si>
  <si>
    <t>Sulfur</t>
  </si>
  <si>
    <t>Bromine</t>
  </si>
  <si>
    <t>Iodine</t>
  </si>
  <si>
    <t>Flourine</t>
  </si>
  <si>
    <t>Charges</t>
  </si>
  <si>
    <t>Hydrophobe</t>
  </si>
  <si>
    <t>Nitrogens</t>
  </si>
  <si>
    <t>Oxygens</t>
  </si>
  <si>
    <t>Exact Mass from Formula</t>
  </si>
  <si>
    <t>Fluorine</t>
  </si>
  <si>
    <t>Total Time Required</t>
  </si>
  <si>
    <t>Hours</t>
  </si>
  <si>
    <t>Fmoc-Phe(5F)-OH</t>
  </si>
  <si>
    <t>Phe-5F</t>
  </si>
  <si>
    <t>Fmoc-Phe(5f)-OH</t>
  </si>
  <si>
    <t>[M+2H]2+</t>
  </si>
  <si>
    <t>[M+2Na]2+</t>
  </si>
  <si>
    <t>[M+H]+</t>
  </si>
  <si>
    <t>[M+Na]+</t>
  </si>
  <si>
    <t>[M+K]+</t>
  </si>
  <si>
    <t>[M+2K]2+</t>
  </si>
  <si>
    <t>[M+Na+K]2+</t>
  </si>
  <si>
    <t>[M+H+K]2+</t>
  </si>
  <si>
    <t>[M+3H]3+</t>
  </si>
  <si>
    <t>[M+1H+2Na]3+</t>
  </si>
  <si>
    <t>[M+H+2Na]3+</t>
  </si>
  <si>
    <t>[M+2H+Na]3+</t>
  </si>
  <si>
    <t>[M+3Na]3+</t>
  </si>
  <si>
    <t>[M+H+Na+K]3+</t>
  </si>
  <si>
    <t>[M+Na+2K]3+</t>
  </si>
  <si>
    <t>[M+3K]3+</t>
  </si>
  <si>
    <t>[M+4H]4+</t>
  </si>
  <si>
    <t>[M+3H+Na]3+</t>
  </si>
  <si>
    <t>[M+2H+2Na]3+</t>
  </si>
  <si>
    <t>[M+H+3Na]4+</t>
  </si>
  <si>
    <t>[M+4Na]4+</t>
  </si>
  <si>
    <t>[M+5H]5+</t>
  </si>
  <si>
    <t>[M+4H+Na]5+</t>
  </si>
  <si>
    <t>[M+3H+2Na]5+</t>
  </si>
  <si>
    <t>[M+2H+3Na]5+</t>
  </si>
  <si>
    <t>[M+H+4Na]5+</t>
  </si>
  <si>
    <t>[M+5Na]5+</t>
  </si>
  <si>
    <t>[M+H+Na]2+</t>
  </si>
  <si>
    <t>[M+3H+Na]4+</t>
  </si>
  <si>
    <t>[M+2H+2Na]4+</t>
  </si>
  <si>
    <t>[M+1H+3Na]4+</t>
  </si>
  <si>
    <t>[M+1H+4Na]5+</t>
  </si>
  <si>
    <t>Coupling</t>
  </si>
  <si>
    <t>Top Strand</t>
  </si>
  <si>
    <t>Bottom Strand</t>
  </si>
  <si>
    <t>Diff. Top-bottom</t>
  </si>
  <si>
    <t>Fmoc-N-Methyl-Ile-OH</t>
  </si>
  <si>
    <t>N-Meth-Ile</t>
  </si>
  <si>
    <t>Fmoc-N-Methyl-nLeu-OH</t>
  </si>
  <si>
    <t>N-Meth-nLeu</t>
  </si>
  <si>
    <t>Cost</t>
  </si>
  <si>
    <t>Old Synthesis</t>
  </si>
  <si>
    <t>Arya's Awesome Sythesis of Awesomeness</t>
  </si>
  <si>
    <t>Resins</t>
  </si>
  <si>
    <t>Wang</t>
  </si>
  <si>
    <t>Rink</t>
  </si>
  <si>
    <t>Chlorotrityl</t>
  </si>
  <si>
    <t>N-Me Amide</t>
  </si>
  <si>
    <t>&lt;---Resin?</t>
  </si>
  <si>
    <t>a TFA salt</t>
  </si>
  <si>
    <t>Fmoc-Hao-OH N15</t>
  </si>
  <si>
    <t>Hao N15</t>
  </si>
  <si>
    <t>Nitration</t>
  </si>
  <si>
    <t>Ammonium Nitrate</t>
  </si>
  <si>
    <t>price per gram/mL</t>
  </si>
  <si>
    <t>Sulfuric Acid</t>
  </si>
  <si>
    <t>o-Anisic Acid</t>
  </si>
  <si>
    <t>Sulfuric Acid (mL)</t>
  </si>
  <si>
    <t xml:space="preserve">Waste </t>
  </si>
  <si>
    <t>o-Anisic Acid (g)</t>
  </si>
  <si>
    <t>Ammonium Nitrate (g)</t>
  </si>
  <si>
    <t>Yield (g)?</t>
  </si>
  <si>
    <t>cost per gram</t>
  </si>
  <si>
    <t>TOTAL COST</t>
  </si>
  <si>
    <t>Hydrazine (mL)</t>
  </si>
  <si>
    <t>Hydrazin</t>
  </si>
  <si>
    <t>Fmoc-Cl</t>
  </si>
  <si>
    <t>Fmoc-CL</t>
  </si>
  <si>
    <t>Ether (total mL)</t>
  </si>
  <si>
    <t>Fmoc-Hydrazine</t>
  </si>
  <si>
    <t>Dry Ether</t>
  </si>
  <si>
    <t>Waste</t>
  </si>
  <si>
    <t>Waste (mL)</t>
  </si>
  <si>
    <t>yield(g)?</t>
  </si>
  <si>
    <t>Hydrazide</t>
  </si>
  <si>
    <t>EDC-Cl</t>
  </si>
  <si>
    <t>Amount</t>
  </si>
  <si>
    <t>DMF total (mL)</t>
  </si>
  <si>
    <t>Dry DMF</t>
  </si>
  <si>
    <t>Reduction</t>
  </si>
  <si>
    <t xml:space="preserve">Palladium on Carbon </t>
  </si>
  <si>
    <t>THF</t>
  </si>
  <si>
    <t>Dry THF</t>
  </si>
  <si>
    <t>MeOH</t>
  </si>
  <si>
    <t>Cost per gram</t>
  </si>
  <si>
    <t>Ethyl Oxalyl</t>
  </si>
  <si>
    <t>pyridine</t>
  </si>
  <si>
    <t>Ethyl Oxalyl Chloride</t>
  </si>
  <si>
    <t>Fmoc-Hao-OEt</t>
  </si>
  <si>
    <t>[2M+H]+</t>
  </si>
  <si>
    <t>[2M+Na]+</t>
  </si>
  <si>
    <t>[2M+K]+</t>
  </si>
  <si>
    <t>[2M+2H]2+</t>
  </si>
  <si>
    <t>[2M+2Na]2+</t>
  </si>
  <si>
    <t>[2M+2K]2+</t>
  </si>
  <si>
    <t>[2M+H+Na]2+</t>
  </si>
  <si>
    <t>[2M+Na+K]2+</t>
  </si>
  <si>
    <t>[2M+H+K]2+</t>
  </si>
  <si>
    <t>[2M+3H]3+</t>
  </si>
  <si>
    <t>[2M+1H+2Na]3+</t>
  </si>
  <si>
    <t>[2M+2H+Na]3+</t>
  </si>
  <si>
    <t>[2M+4H]4+</t>
  </si>
  <si>
    <t>[2M+3H+Na]4+</t>
  </si>
  <si>
    <t>[2M+2H+2Na]4+</t>
  </si>
  <si>
    <t>[2M+1H+3Na]4+</t>
  </si>
  <si>
    <t>[2M+4Na]4+</t>
  </si>
  <si>
    <t>[2M+5H]5+</t>
  </si>
  <si>
    <t>[2M+4H+Na]5+</t>
  </si>
  <si>
    <t>[2M+3H+2Na]5+</t>
  </si>
  <si>
    <t>[2M+2H+3Na]5+</t>
  </si>
  <si>
    <t>[2M+1H+4Na]5+</t>
  </si>
  <si>
    <t>[2M+5Na]5+</t>
  </si>
  <si>
    <t>[3M+H]+</t>
  </si>
  <si>
    <t>[3M+Na]+</t>
  </si>
  <si>
    <t>[3M+K]+</t>
  </si>
  <si>
    <t>[3M+2H]2+</t>
  </si>
  <si>
    <t>[3M+2Na]2+</t>
  </si>
  <si>
    <t>[3M+2K]2+</t>
  </si>
  <si>
    <t>[3M+H+Na]2+</t>
  </si>
  <si>
    <t>[3M+Na+K]2+</t>
  </si>
  <si>
    <t>[3M+H+K]2+</t>
  </si>
  <si>
    <t>[3M+3H]3+</t>
  </si>
  <si>
    <t>[3M+1H+2Na]3+</t>
  </si>
  <si>
    <t>[3M+2H+Na]3+</t>
  </si>
  <si>
    <t>[3M+4H]4+</t>
  </si>
  <si>
    <t>[3M+3H+Na]4+</t>
  </si>
  <si>
    <t>[3M+2H+2Na]4+</t>
  </si>
  <si>
    <t>[3M+1H+3Na]4+</t>
  </si>
  <si>
    <t>[3M+4Na]4+</t>
  </si>
  <si>
    <t>[3M+5H]5+</t>
  </si>
  <si>
    <t>[3M+4H+Na]5+</t>
  </si>
  <si>
    <t>[3M+3H+2Na]5+</t>
  </si>
  <si>
    <t>[3M+2H+3Na]5+</t>
  </si>
  <si>
    <t>[3M+1H+4Na]5+</t>
  </si>
  <si>
    <t>[3M+5Na]5+</t>
  </si>
  <si>
    <t>[4M+H]+</t>
  </si>
  <si>
    <t>[4M+Na]+</t>
  </si>
  <si>
    <t>[4M+K]+</t>
  </si>
  <si>
    <t>[4M+2H]2+</t>
  </si>
  <si>
    <t>[4M+2K]2+</t>
  </si>
  <si>
    <t>[4M+H+Na]2+</t>
  </si>
  <si>
    <t>[4M+Na+K]2+</t>
  </si>
  <si>
    <t>[4M+H+K]2+</t>
  </si>
  <si>
    <t>[4M+3H]3+</t>
  </si>
  <si>
    <t>[4M+1H+2Na]3+</t>
  </si>
  <si>
    <t>[4M+2H+Na]3+</t>
  </si>
  <si>
    <t>[4M+4H]4+</t>
  </si>
  <si>
    <t>[4M+3H+Na]4+</t>
  </si>
  <si>
    <t>[4M+2H+2Na]4+</t>
  </si>
  <si>
    <t>[4M+1H+3Na]4+</t>
  </si>
  <si>
    <t>[4M+4Na]4+</t>
  </si>
  <si>
    <t>[4M+5H]5+</t>
  </si>
  <si>
    <t>[4M+4H+Na]5+</t>
  </si>
  <si>
    <t>[4M+3H+2Na]5+</t>
  </si>
  <si>
    <t>[4M+2H+3Na]5+</t>
  </si>
  <si>
    <t>[4M+1H+4Na]5+</t>
  </si>
  <si>
    <t>[4M+5Na]5+</t>
  </si>
  <si>
    <t>If Yes, How Many?</t>
  </si>
  <si>
    <t>Disulfide?----&gt;</t>
  </si>
  <si>
    <t>Intermolecular?--&gt;</t>
  </si>
  <si>
    <t>TFA ester</t>
  </si>
  <si>
    <t>Deprotected</t>
  </si>
  <si>
    <t>Use the above formula with</t>
  </si>
  <si>
    <t>http://mods.rna.albany.edu/masspec/MoIE</t>
  </si>
  <si>
    <t xml:space="preserve">Molecular Weight as </t>
  </si>
  <si>
    <t>Fmoc-Hydrazine (g)</t>
  </si>
  <si>
    <t>HOAt (g)</t>
  </si>
  <si>
    <t>EDC-Cl (g)</t>
  </si>
  <si>
    <t>Hydrazide (mL)</t>
  </si>
  <si>
    <t>THF (mL)</t>
  </si>
  <si>
    <t>MeOH (mL)</t>
  </si>
  <si>
    <t>Ethyl Oxalyl Chloride (mL)</t>
  </si>
  <si>
    <t>pyridine (mL)</t>
  </si>
  <si>
    <t>Amine Reduced product (g)</t>
  </si>
  <si>
    <t>2-methoxy-5-nitro. (g)</t>
  </si>
  <si>
    <t>Palladium on Carbon 10% (g)</t>
  </si>
  <si>
    <t>KD</t>
  </si>
  <si>
    <t>EI</t>
  </si>
  <si>
    <t>RO</t>
  </si>
  <si>
    <t>CR</t>
  </si>
  <si>
    <t>nKD</t>
  </si>
  <si>
    <t>nEI</t>
  </si>
  <si>
    <t>nRO</t>
  </si>
  <si>
    <t>nCR</t>
  </si>
  <si>
    <t>ALA</t>
  </si>
  <si>
    <t>ARG</t>
  </si>
  <si>
    <t>-4.00</t>
  </si>
  <si>
    <t>-8.46</t>
  </si>
  <si>
    <t>-5.34</t>
  </si>
  <si>
    <t>-5.25</t>
  </si>
  <si>
    <t>ASN</t>
  </si>
  <si>
    <t>-0.78</t>
  </si>
  <si>
    <t>-3.13</t>
  </si>
  <si>
    <t>-3.04</t>
  </si>
  <si>
    <t>-2.44</t>
  </si>
  <si>
    <t>-2.39</t>
  </si>
  <si>
    <t>-3.41</t>
  </si>
  <si>
    <t>-5.14</t>
  </si>
  <si>
    <t>-5.05</t>
  </si>
  <si>
    <t>CYS</t>
  </si>
  <si>
    <t>-2.87</t>
  </si>
  <si>
    <t>-3.26</t>
  </si>
  <si>
    <t>-1.58</t>
  </si>
  <si>
    <t>-1.54</t>
  </si>
  <si>
    <t>-2.91</t>
  </si>
  <si>
    <t>-3.87</t>
  </si>
  <si>
    <t>-3.79</t>
  </si>
  <si>
    <t>GLY</t>
  </si>
  <si>
    <t>-0.44</t>
  </si>
  <si>
    <t>HIS</t>
  </si>
  <si>
    <t>-0.64</t>
  </si>
  <si>
    <t>-1.86</t>
  </si>
  <si>
    <t>-0.62</t>
  </si>
  <si>
    <t>ILE</t>
  </si>
  <si>
    <t>LEU</t>
  </si>
  <si>
    <t>-3.48</t>
  </si>
  <si>
    <t>-5.27</t>
  </si>
  <si>
    <t>-3.66</t>
  </si>
  <si>
    <t>-3.14</t>
  </si>
  <si>
    <t>MET</t>
  </si>
  <si>
    <t>PHE</t>
  </si>
  <si>
    <t>PRO</t>
  </si>
  <si>
    <t>-1.48</t>
  </si>
  <si>
    <t>-0.25</t>
  </si>
  <si>
    <t>SER</t>
  </si>
  <si>
    <t>-1.18</t>
  </si>
  <si>
    <t>-1.49</t>
  </si>
  <si>
    <t>-1.46</t>
  </si>
  <si>
    <t>THR</t>
  </si>
  <si>
    <t>-0.70</t>
  </si>
  <si>
    <t>-1.15</t>
  </si>
  <si>
    <t>-1.12</t>
  </si>
  <si>
    <t>TRP</t>
  </si>
  <si>
    <t>-0.87</t>
  </si>
  <si>
    <t>TYR</t>
  </si>
  <si>
    <t>VAL</t>
  </si>
  <si>
    <t>cLogP</t>
  </si>
  <si>
    <t>c-P</t>
  </si>
  <si>
    <t>1/clogP</t>
  </si>
  <si>
    <t>Acetyl</t>
  </si>
  <si>
    <t>Fmoc-Phe(pI)-OH</t>
  </si>
  <si>
    <t>Fmoc-Orn(Fmoc)-OH</t>
  </si>
  <si>
    <t>N-Meth-nVal</t>
  </si>
  <si>
    <t>Fmoc-N-Methyl-nVal-OH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</si>
</sst>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"/>
    <numFmt numFmtId="166" formatCode="0.0"/>
    <numFmt numFmtId="167" formatCode="&quot;$&quot;#,##0.00"/>
    <numFmt numFmtId="168" formatCode="###0.00;#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63"/>
      <name val="Arial"/>
      <family val="2"/>
    </font>
    <font>
      <sz val="8"/>
      <color indexed="63"/>
      <name val="Arial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231F20"/>
      </bottom>
      <diagonal/>
    </border>
    <border>
      <left/>
      <right/>
      <top style="thin">
        <color rgb="FF231F20"/>
      </top>
      <bottom/>
      <diagonal/>
    </border>
  </borders>
  <cellStyleXfs count="3">
    <xf numFmtId="0" fontId="0" fillId="0" borderId="0"/>
    <xf numFmtId="0" fontId="3" fillId="1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0" fillId="3" borderId="0" xfId="0" applyFill="1"/>
    <xf numFmtId="49" fontId="0" fillId="3" borderId="0" xfId="0" applyNumberFormat="1" applyFill="1"/>
    <xf numFmtId="2" fontId="0" fillId="0" borderId="0" xfId="0" applyNumberFormat="1"/>
    <xf numFmtId="0" fontId="1" fillId="0" borderId="0" xfId="0" applyFont="1"/>
    <xf numFmtId="0" fontId="1" fillId="3" borderId="0" xfId="0" applyFont="1" applyFill="1"/>
    <xf numFmtId="0" fontId="1" fillId="0" borderId="2" xfId="0" applyFont="1" applyBorder="1"/>
    <xf numFmtId="0" fontId="1" fillId="3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0" fillId="0" borderId="0" xfId="0" applyNumberFormat="1"/>
    <xf numFmtId="0" fontId="1" fillId="0" borderId="1" xfId="0" applyFont="1" applyBorder="1"/>
    <xf numFmtId="0" fontId="1" fillId="3" borderId="1" xfId="0" applyFont="1" applyFill="1" applyBorder="1"/>
    <xf numFmtId="0" fontId="0" fillId="6" borderId="1" xfId="0" applyFill="1" applyBorder="1"/>
    <xf numFmtId="164" fontId="0" fillId="7" borderId="1" xfId="0" applyNumberFormat="1" applyFill="1" applyBorder="1"/>
    <xf numFmtId="164" fontId="0" fillId="8" borderId="1" xfId="0" applyNumberForma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0" xfId="0" applyFont="1" applyFill="1"/>
    <xf numFmtId="1" fontId="0" fillId="7" borderId="1" xfId="0" applyNumberFormat="1" applyFill="1" applyBorder="1"/>
    <xf numFmtId="0" fontId="1" fillId="6" borderId="1" xfId="0" applyFont="1" applyFill="1" applyBorder="1"/>
    <xf numFmtId="0" fontId="1" fillId="0" borderId="0" xfId="0" applyFont="1" applyBorder="1"/>
    <xf numFmtId="0" fontId="1" fillId="3" borderId="9" xfId="0" applyFont="1" applyFill="1" applyBorder="1"/>
    <xf numFmtId="0" fontId="1" fillId="6" borderId="9" xfId="0" applyFont="1" applyFill="1" applyBorder="1"/>
    <xf numFmtId="165" fontId="0" fillId="7" borderId="1" xfId="0" applyNumberFormat="1" applyFill="1" applyBorder="1"/>
    <xf numFmtId="165" fontId="0" fillId="0" borderId="0" xfId="0" applyNumberFormat="1"/>
    <xf numFmtId="165" fontId="0" fillId="8" borderId="1" xfId="0" applyNumberFormat="1" applyFill="1" applyBorder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2" fontId="1" fillId="3" borderId="1" xfId="0" applyNumberFormat="1" applyFont="1" applyFill="1" applyBorder="1"/>
    <xf numFmtId="2" fontId="1" fillId="6" borderId="1" xfId="0" applyNumberFormat="1" applyFont="1" applyFill="1" applyBorder="1"/>
    <xf numFmtId="0" fontId="0" fillId="9" borderId="0" xfId="0" applyFill="1"/>
    <xf numFmtId="0" fontId="0" fillId="5" borderId="1" xfId="0" applyFill="1" applyBorder="1"/>
    <xf numFmtId="0" fontId="0" fillId="5" borderId="0" xfId="0" applyFill="1" applyBorder="1"/>
    <xf numFmtId="0" fontId="0" fillId="10" borderId="1" xfId="0" applyFill="1" applyBorder="1"/>
    <xf numFmtId="2" fontId="0" fillId="5" borderId="1" xfId="0" applyNumberFormat="1" applyFill="1" applyBorder="1"/>
    <xf numFmtId="2" fontId="0" fillId="5" borderId="0" xfId="0" applyNumberFormat="1" applyFill="1" applyBorder="1"/>
    <xf numFmtId="2" fontId="0" fillId="10" borderId="1" xfId="0" applyNumberFormat="1" applyFill="1" applyBorder="1"/>
    <xf numFmtId="0" fontId="0" fillId="4" borderId="1" xfId="0" applyFill="1" applyBorder="1"/>
    <xf numFmtId="0" fontId="0" fillId="4" borderId="0" xfId="0" applyFill="1" applyBorder="1"/>
    <xf numFmtId="0" fontId="1" fillId="0" borderId="0" xfId="0" applyFont="1" applyFill="1" applyBorder="1"/>
    <xf numFmtId="0" fontId="1" fillId="11" borderId="1" xfId="0" applyFont="1" applyFill="1" applyBorder="1"/>
    <xf numFmtId="1" fontId="0" fillId="0" borderId="0" xfId="0" applyNumberFormat="1"/>
    <xf numFmtId="0" fontId="1" fillId="12" borderId="1" xfId="0" applyFont="1" applyFill="1" applyBorder="1"/>
    <xf numFmtId="0" fontId="0" fillId="12" borderId="1" xfId="0" applyFill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1" xfId="0" applyFill="1" applyBorder="1" applyAlignment="1">
      <alignment horizontal="center" vertical="center"/>
    </xf>
    <xf numFmtId="0" fontId="1" fillId="13" borderId="0" xfId="0" applyFont="1" applyFill="1"/>
    <xf numFmtId="0" fontId="0" fillId="13" borderId="0" xfId="0" applyFill="1"/>
    <xf numFmtId="166" fontId="0" fillId="0" borderId="1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4" borderId="1" xfId="1" applyFont="1" applyBorder="1" applyAlignment="1">
      <alignment horizontal="center" vertical="center"/>
    </xf>
    <xf numFmtId="167" fontId="0" fillId="0" borderId="0" xfId="0" applyNumberFormat="1"/>
    <xf numFmtId="0" fontId="0" fillId="0" borderId="2" xfId="0" applyBorder="1"/>
    <xf numFmtId="0" fontId="0" fillId="0" borderId="0" xfId="0" applyFill="1" applyBorder="1"/>
    <xf numFmtId="0" fontId="1" fillId="3" borderId="11" xfId="0" applyFont="1" applyFill="1" applyBorder="1"/>
    <xf numFmtId="0" fontId="3" fillId="14" borderId="1" xfId="1" applyBorder="1" applyAlignment="1">
      <alignment horizontal="center" vertical="center"/>
    </xf>
    <xf numFmtId="0" fontId="4" fillId="0" borderId="0" xfId="2"/>
    <xf numFmtId="167" fontId="1" fillId="0" borderId="0" xfId="0" applyNumberFormat="1" applyFont="1"/>
    <xf numFmtId="0" fontId="0" fillId="11" borderId="1" xfId="0" applyFill="1" applyBorder="1"/>
    <xf numFmtId="167" fontId="1" fillId="0" borderId="1" xfId="0" applyNumberFormat="1" applyFont="1" applyBorder="1"/>
    <xf numFmtId="167" fontId="0" fillId="0" borderId="1" xfId="0" applyNumberFormat="1" applyBorder="1"/>
    <xf numFmtId="0" fontId="0" fillId="0" borderId="6" xfId="0" applyBorder="1"/>
    <xf numFmtId="0" fontId="0" fillId="11" borderId="11" xfId="0" applyFill="1" applyBorder="1"/>
    <xf numFmtId="0" fontId="6" fillId="15" borderId="12" xfId="0" applyFont="1" applyFill="1" applyBorder="1" applyAlignment="1">
      <alignment horizontal="left" vertical="top" wrapText="1"/>
    </xf>
    <xf numFmtId="0" fontId="6" fillId="15" borderId="12" xfId="0" applyFont="1" applyFill="1" applyBorder="1" applyAlignment="1">
      <alignment horizontal="center" vertical="top" wrapText="1"/>
    </xf>
    <xf numFmtId="0" fontId="6" fillId="15" borderId="13" xfId="0" applyFont="1" applyFill="1" applyBorder="1" applyAlignment="1">
      <alignment horizontal="left" vertical="top" wrapText="1"/>
    </xf>
    <xf numFmtId="168" fontId="5" fillId="15" borderId="13" xfId="0" applyNumberFormat="1" applyFont="1" applyFill="1" applyBorder="1" applyAlignment="1">
      <alignment horizontal="left" vertical="top" wrapText="1"/>
    </xf>
    <xf numFmtId="0" fontId="6" fillId="15" borderId="0" xfId="0" applyFont="1" applyFill="1" applyAlignment="1">
      <alignment horizontal="left" vertical="top" wrapText="1"/>
    </xf>
    <xf numFmtId="168" fontId="5" fillId="15" borderId="0" xfId="0" applyNumberFormat="1" applyFont="1" applyFill="1" applyAlignment="1">
      <alignment horizontal="left" vertical="top" wrapText="1"/>
    </xf>
    <xf numFmtId="168" fontId="5" fillId="15" borderId="12" xfId="0" applyNumberFormat="1" applyFont="1" applyFill="1" applyBorder="1" applyAlignment="1">
      <alignment horizontal="left" vertical="top" wrapText="1"/>
    </xf>
    <xf numFmtId="2" fontId="5" fillId="15" borderId="13" xfId="0" applyNumberFormat="1" applyFont="1" applyFill="1" applyBorder="1" applyAlignment="1">
      <alignment horizontal="left" vertical="top" wrapText="1"/>
    </xf>
    <xf numFmtId="2" fontId="6" fillId="15" borderId="0" xfId="0" applyNumberFormat="1" applyFont="1" applyFill="1" applyAlignment="1">
      <alignment horizontal="left" vertical="top" wrapText="1"/>
    </xf>
    <xf numFmtId="2" fontId="5" fillId="15" borderId="0" xfId="0" applyNumberFormat="1" applyFont="1" applyFill="1" applyAlignment="1">
      <alignment horizontal="left" vertical="top" wrapText="1"/>
    </xf>
    <xf numFmtId="2" fontId="5" fillId="15" borderId="0" xfId="0" applyNumberFormat="1" applyFont="1" applyFill="1" applyAlignment="1">
      <alignment horizontal="center" vertical="top" wrapText="1"/>
    </xf>
    <xf numFmtId="2" fontId="5" fillId="15" borderId="12" xfId="0" applyNumberFormat="1" applyFont="1" applyFill="1" applyBorder="1" applyAlignment="1">
      <alignment horizontal="left" vertical="top" wrapText="1"/>
    </xf>
    <xf numFmtId="168" fontId="0" fillId="0" borderId="0" xfId="0" applyNumberFormat="1"/>
  </cellXfs>
  <cellStyles count="3">
    <cellStyle name="20% - Accent2" xfId="1" builtinId="34"/>
    <cellStyle name="Hyperlink" xfId="2" builtinId="8"/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'Hydrophobicity calculations'!$C$3</c:f>
              <c:strCache>
                <c:ptCount val="1"/>
                <c:pt idx="0">
                  <c:v>1/clogP</c:v>
                </c:pt>
              </c:strCache>
            </c:strRef>
          </c:tx>
          <c:spPr>
            <a:ln w="28575">
              <a:noFill/>
            </a:ln>
          </c:spPr>
          <c:xVal>
            <c:numRef>
              <c:f>'Hydrophobicity calculations'!$A$4:$A$19</c:f>
              <c:numCache>
                <c:formatCode>0.00</c:formatCode>
                <c:ptCount val="16"/>
                <c:pt idx="0">
                  <c:v>1.8</c:v>
                </c:pt>
                <c:pt idx="1">
                  <c:v>-4.5</c:v>
                </c:pt>
                <c:pt idx="2">
                  <c:v>-3.5</c:v>
                </c:pt>
                <c:pt idx="3">
                  <c:v>2.5</c:v>
                </c:pt>
                <c:pt idx="4">
                  <c:v>-0.4</c:v>
                </c:pt>
                <c:pt idx="5">
                  <c:v>-3.2</c:v>
                </c:pt>
                <c:pt idx="6">
                  <c:v>4.5</c:v>
                </c:pt>
                <c:pt idx="7">
                  <c:v>3.8</c:v>
                </c:pt>
                <c:pt idx="8">
                  <c:v>1.9</c:v>
                </c:pt>
                <c:pt idx="9">
                  <c:v>2.8</c:v>
                </c:pt>
                <c:pt idx="10">
                  <c:v>-1.6</c:v>
                </c:pt>
                <c:pt idx="11">
                  <c:v>-0.8</c:v>
                </c:pt>
                <c:pt idx="12">
                  <c:v>-0.7</c:v>
                </c:pt>
                <c:pt idx="13">
                  <c:v>-0.9</c:v>
                </c:pt>
                <c:pt idx="14">
                  <c:v>-1.3</c:v>
                </c:pt>
                <c:pt idx="15">
                  <c:v>4.2</c:v>
                </c:pt>
              </c:numCache>
            </c:numRef>
          </c:xVal>
          <c:yVal>
            <c:numRef>
              <c:f>'Hydrophobicity calculations'!$C$4:$C$19</c:f>
              <c:numCache>
                <c:formatCode>General</c:formatCode>
                <c:ptCount val="16"/>
                <c:pt idx="0">
                  <c:v>-0.74872716382150351</c:v>
                </c:pt>
                <c:pt idx="1">
                  <c:v>-0.33204940895205204</c:v>
                </c:pt>
                <c:pt idx="2">
                  <c:v>-0.44066452209932583</c:v>
                </c:pt>
                <c:pt idx="3">
                  <c:v>-0.79088895919012969</c:v>
                </c:pt>
                <c:pt idx="4">
                  <c:v>-0.60805058980907212</c:v>
                </c:pt>
                <c:pt idx="5">
                  <c:v>-0.43129474682998359</c:v>
                </c:pt>
                <c:pt idx="6">
                  <c:v>8.2372322899505779</c:v>
                </c:pt>
                <c:pt idx="7">
                  <c:v>8.2372322899505779</c:v>
                </c:pt>
                <c:pt idx="8">
                  <c:v>-0.84203435500168411</c:v>
                </c:pt>
                <c:pt idx="9">
                  <c:v>12.135922330097086</c:v>
                </c:pt>
                <c:pt idx="10">
                  <c:v>-1.0418837257762035</c:v>
                </c:pt>
                <c:pt idx="11">
                  <c:v>-0.45628764373060771</c:v>
                </c:pt>
                <c:pt idx="12">
                  <c:v>-0.53118028258791028</c:v>
                </c:pt>
                <c:pt idx="13">
                  <c:v>-0.74482347683598982</c:v>
                </c:pt>
                <c:pt idx="14">
                  <c:v>-1.7105713308244954</c:v>
                </c:pt>
                <c:pt idx="15">
                  <c:v>-2.4533856722276739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23520"/>
        <c:axId val="106224080"/>
      </c:scatterChart>
      <c:valAx>
        <c:axId val="1062235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06224080"/>
        <c:crosses val="autoZero"/>
        <c:crossBetween val="midCat"/>
      </c:valAx>
      <c:valAx>
        <c:axId val="106224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223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'Hydrophobicity calculations'!$D$3</c:f>
              <c:strCache>
                <c:ptCount val="1"/>
                <c:pt idx="0">
                  <c:v>c-P</c:v>
                </c:pt>
              </c:strCache>
            </c:strRef>
          </c:tx>
          <c:spPr>
            <a:ln w="28575">
              <a:noFill/>
            </a:ln>
          </c:spPr>
          <c:xVal>
            <c:numRef>
              <c:f>'Hydrophobicity calculations'!$A$4:$A$19</c:f>
              <c:numCache>
                <c:formatCode>0.00</c:formatCode>
                <c:ptCount val="16"/>
                <c:pt idx="0">
                  <c:v>1.8</c:v>
                </c:pt>
                <c:pt idx="1">
                  <c:v>-4.5</c:v>
                </c:pt>
                <c:pt idx="2">
                  <c:v>-3.5</c:v>
                </c:pt>
                <c:pt idx="3">
                  <c:v>2.5</c:v>
                </c:pt>
                <c:pt idx="4">
                  <c:v>-0.4</c:v>
                </c:pt>
                <c:pt idx="5">
                  <c:v>-3.2</c:v>
                </c:pt>
                <c:pt idx="6">
                  <c:v>4.5</c:v>
                </c:pt>
                <c:pt idx="7">
                  <c:v>3.8</c:v>
                </c:pt>
                <c:pt idx="8">
                  <c:v>1.9</c:v>
                </c:pt>
                <c:pt idx="9">
                  <c:v>2.8</c:v>
                </c:pt>
                <c:pt idx="10">
                  <c:v>-1.6</c:v>
                </c:pt>
                <c:pt idx="11">
                  <c:v>-0.8</c:v>
                </c:pt>
                <c:pt idx="12">
                  <c:v>-0.7</c:v>
                </c:pt>
                <c:pt idx="13">
                  <c:v>-0.9</c:v>
                </c:pt>
                <c:pt idx="14">
                  <c:v>-1.3</c:v>
                </c:pt>
                <c:pt idx="15">
                  <c:v>4.2</c:v>
                </c:pt>
              </c:numCache>
            </c:numRef>
          </c:xVal>
          <c:yVal>
            <c:numRef>
              <c:f>'Hydrophobicity calculations'!$D$4:$D$19</c:f>
              <c:numCache>
                <c:formatCode>General</c:formatCode>
                <c:ptCount val="16"/>
                <c:pt idx="0">
                  <c:v>4.617426594772954E-2</c:v>
                </c:pt>
                <c:pt idx="1">
                  <c:v>9.7364356979888554E-4</c:v>
                </c:pt>
                <c:pt idx="2">
                  <c:v>5.3789808731687285E-3</c:v>
                </c:pt>
                <c:pt idx="3">
                  <c:v>5.4400137824672713E-2</c:v>
                </c:pt>
                <c:pt idx="4">
                  <c:v>2.2667310829305364E-2</c:v>
                </c:pt>
                <c:pt idx="5">
                  <c:v>4.8017550301397947E-3</c:v>
                </c:pt>
                <c:pt idx="6">
                  <c:v>1.3225131530409457</c:v>
                </c:pt>
                <c:pt idx="7">
                  <c:v>1.3225131530409457</c:v>
                </c:pt>
                <c:pt idx="8">
                  <c:v>6.4923212314321299E-2</c:v>
                </c:pt>
                <c:pt idx="9">
                  <c:v>1.2089267852133001</c:v>
                </c:pt>
                <c:pt idx="10">
                  <c:v>0.10969832592991949</c:v>
                </c:pt>
                <c:pt idx="11">
                  <c:v>6.4327992726085021E-3</c:v>
                </c:pt>
                <c:pt idx="12">
                  <c:v>1.3103882795738257E-2</c:v>
                </c:pt>
                <c:pt idx="13">
                  <c:v>4.5435990492934009E-2</c:v>
                </c:pt>
                <c:pt idx="14">
                  <c:v>0.2602555501826247</c:v>
                </c:pt>
                <c:pt idx="15">
                  <c:v>0.39120103938735096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26320"/>
        <c:axId val="106226880"/>
      </c:scatterChart>
      <c:valAx>
        <c:axId val="1062263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06226880"/>
        <c:crosses val="autoZero"/>
        <c:crossBetween val="midCat"/>
      </c:valAx>
      <c:valAx>
        <c:axId val="106226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226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'Hydrophobicity calculations'!$E$3</c:f>
              <c:strCache>
                <c:ptCount val="1"/>
                <c:pt idx="0">
                  <c:v>cLogP</c:v>
                </c:pt>
              </c:strCache>
            </c:strRef>
          </c:tx>
          <c:spPr>
            <a:ln w="28575">
              <a:noFill/>
            </a:ln>
          </c:spPr>
          <c:xVal>
            <c:numRef>
              <c:f>'Hydrophobicity calculations'!$A$4:$A$19</c:f>
              <c:numCache>
                <c:formatCode>0.00</c:formatCode>
                <c:ptCount val="16"/>
                <c:pt idx="0">
                  <c:v>1.8</c:v>
                </c:pt>
                <c:pt idx="1">
                  <c:v>-4.5</c:v>
                </c:pt>
                <c:pt idx="2">
                  <c:v>-3.5</c:v>
                </c:pt>
                <c:pt idx="3">
                  <c:v>2.5</c:v>
                </c:pt>
                <c:pt idx="4">
                  <c:v>-0.4</c:v>
                </c:pt>
                <c:pt idx="5">
                  <c:v>-3.2</c:v>
                </c:pt>
                <c:pt idx="6">
                  <c:v>4.5</c:v>
                </c:pt>
                <c:pt idx="7">
                  <c:v>3.8</c:v>
                </c:pt>
                <c:pt idx="8">
                  <c:v>1.9</c:v>
                </c:pt>
                <c:pt idx="9">
                  <c:v>2.8</c:v>
                </c:pt>
                <c:pt idx="10">
                  <c:v>-1.6</c:v>
                </c:pt>
                <c:pt idx="11">
                  <c:v>-0.8</c:v>
                </c:pt>
                <c:pt idx="12">
                  <c:v>-0.7</c:v>
                </c:pt>
                <c:pt idx="13">
                  <c:v>-0.9</c:v>
                </c:pt>
                <c:pt idx="14">
                  <c:v>-1.3</c:v>
                </c:pt>
                <c:pt idx="15">
                  <c:v>4.2</c:v>
                </c:pt>
              </c:numCache>
            </c:numRef>
          </c:xVal>
          <c:yVal>
            <c:numRef>
              <c:f>'Hydrophobicity calculations'!$E$4:$E$19</c:f>
              <c:numCache>
                <c:formatCode>General</c:formatCode>
                <c:ptCount val="16"/>
                <c:pt idx="0">
                  <c:v>-1.3355999999999999</c:v>
                </c:pt>
                <c:pt idx="1">
                  <c:v>-3.0116000000000001</c:v>
                </c:pt>
                <c:pt idx="2">
                  <c:v>-2.2692999999999999</c:v>
                </c:pt>
                <c:pt idx="3">
                  <c:v>-1.2644</c:v>
                </c:pt>
                <c:pt idx="4">
                  <c:v>-1.6446000000000001</c:v>
                </c:pt>
                <c:pt idx="5">
                  <c:v>-2.3186</c:v>
                </c:pt>
                <c:pt idx="6">
                  <c:v>0.12139999999999999</c:v>
                </c:pt>
                <c:pt idx="7">
                  <c:v>0.12139999999999999</c:v>
                </c:pt>
                <c:pt idx="8">
                  <c:v>-1.1876</c:v>
                </c:pt>
                <c:pt idx="9">
                  <c:v>8.2400000000000001E-2</c:v>
                </c:pt>
                <c:pt idx="10">
                  <c:v>-0.95979999999999999</c:v>
                </c:pt>
                <c:pt idx="11">
                  <c:v>-2.1916000000000002</c:v>
                </c:pt>
                <c:pt idx="12">
                  <c:v>-1.8826000000000001</c:v>
                </c:pt>
                <c:pt idx="13">
                  <c:v>-1.3426</c:v>
                </c:pt>
                <c:pt idx="14">
                  <c:v>-0.58460000000000001</c:v>
                </c:pt>
                <c:pt idx="15">
                  <c:v>-0.40760000000000002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229120"/>
        <c:axId val="106229680"/>
      </c:scatterChart>
      <c:valAx>
        <c:axId val="1062291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06229680"/>
        <c:crosses val="autoZero"/>
        <c:crossBetween val="midCat"/>
      </c:valAx>
      <c:valAx>
        <c:axId val="106229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229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og"/>
            <c:dispRSqr val="1"/>
            <c:dispEq val="0"/>
            <c:trendlineLbl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39155293088363957"/>
                  <c:y val="0.61938764434514004"/>
                </c:manualLayout>
              </c:layout>
              <c:numFmt formatCode="General" sourceLinked="0"/>
            </c:trendlineLbl>
          </c:trendline>
          <c:xVal>
            <c:numRef>
              <c:f>'Hydrophobicity calculations'!$B$4:$B$19</c:f>
              <c:numCache>
                <c:formatCode>0.00</c:formatCode>
                <c:ptCount val="16"/>
                <c:pt idx="0">
                  <c:v>0.39</c:v>
                </c:pt>
                <c:pt idx="1">
                  <c:v>-3.95</c:v>
                </c:pt>
                <c:pt idx="2">
                  <c:v>-1.91</c:v>
                </c:pt>
                <c:pt idx="3">
                  <c:v>0.25</c:v>
                </c:pt>
                <c:pt idx="4">
                  <c:v>0</c:v>
                </c:pt>
                <c:pt idx="5">
                  <c:v>-0.64</c:v>
                </c:pt>
                <c:pt idx="6">
                  <c:v>1.82</c:v>
                </c:pt>
                <c:pt idx="7">
                  <c:v>1.82</c:v>
                </c:pt>
                <c:pt idx="8">
                  <c:v>0.96</c:v>
                </c:pt>
                <c:pt idx="9">
                  <c:v>2.27</c:v>
                </c:pt>
                <c:pt idx="10">
                  <c:v>0.99</c:v>
                </c:pt>
                <c:pt idx="11">
                  <c:v>-1.24</c:v>
                </c:pt>
                <c:pt idx="12">
                  <c:v>-1</c:v>
                </c:pt>
                <c:pt idx="13">
                  <c:v>2.13</c:v>
                </c:pt>
                <c:pt idx="14">
                  <c:v>1.47</c:v>
                </c:pt>
                <c:pt idx="15">
                  <c:v>1.3</c:v>
                </c:pt>
              </c:numCache>
            </c:numRef>
          </c:xVal>
          <c:yVal>
            <c:numRef>
              <c:f>'Hydrophobicity calculations'!$E$4:$E$19</c:f>
              <c:numCache>
                <c:formatCode>General</c:formatCode>
                <c:ptCount val="16"/>
                <c:pt idx="0">
                  <c:v>-1.3355999999999999</c:v>
                </c:pt>
                <c:pt idx="1">
                  <c:v>-3.0116000000000001</c:v>
                </c:pt>
                <c:pt idx="2">
                  <c:v>-2.2692999999999999</c:v>
                </c:pt>
                <c:pt idx="3">
                  <c:v>-1.2644</c:v>
                </c:pt>
                <c:pt idx="4">
                  <c:v>-1.6446000000000001</c:v>
                </c:pt>
                <c:pt idx="5">
                  <c:v>-2.3186</c:v>
                </c:pt>
                <c:pt idx="6">
                  <c:v>0.12139999999999999</c:v>
                </c:pt>
                <c:pt idx="7">
                  <c:v>0.12139999999999999</c:v>
                </c:pt>
                <c:pt idx="8">
                  <c:v>-1.1876</c:v>
                </c:pt>
                <c:pt idx="9">
                  <c:v>8.2400000000000001E-2</c:v>
                </c:pt>
                <c:pt idx="10">
                  <c:v>-0.95979999999999999</c:v>
                </c:pt>
                <c:pt idx="11">
                  <c:v>-2.1916000000000002</c:v>
                </c:pt>
                <c:pt idx="12">
                  <c:v>-1.8826000000000001</c:v>
                </c:pt>
                <c:pt idx="13">
                  <c:v>-1.3426</c:v>
                </c:pt>
                <c:pt idx="14">
                  <c:v>-0.58460000000000001</c:v>
                </c:pt>
                <c:pt idx="15">
                  <c:v>-0.40760000000000002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090912"/>
        <c:axId val="190091472"/>
      </c:scatterChart>
      <c:valAx>
        <c:axId val="1900909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190091472"/>
        <c:crosses val="autoZero"/>
        <c:crossBetween val="midCat"/>
      </c:valAx>
      <c:valAx>
        <c:axId val="190091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090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'Molecular Weight'!$A$3:$A$47</c:f>
              <c:strCache>
                <c:ptCount val="45"/>
                <c:pt idx="0">
                  <c:v>Fmoc-Ala-OH</c:v>
                </c:pt>
                <c:pt idx="1">
                  <c:v>Fmoc-Arg(Pbf)-OH</c:v>
                </c:pt>
                <c:pt idx="2">
                  <c:v>Fmoc-Asn(Trt)-OH</c:v>
                </c:pt>
                <c:pt idx="3">
                  <c:v>Fmoc-Asp(tBu)-OH</c:v>
                </c:pt>
                <c:pt idx="4">
                  <c:v>Fmoc-Cys(Trt)-OH</c:v>
                </c:pt>
                <c:pt idx="5">
                  <c:v>Fmoc-cHex-OH</c:v>
                </c:pt>
                <c:pt idx="6">
                  <c:v>Fmoc-Glu(OtBu)-OH</c:v>
                </c:pt>
                <c:pt idx="7">
                  <c:v>Fmoc-Gln(Trt)-OH</c:v>
                </c:pt>
                <c:pt idx="8">
                  <c:v>Fmoc-Gly-OH</c:v>
                </c:pt>
                <c:pt idx="9">
                  <c:v>Fmoc-His(Boc)-OH</c:v>
                </c:pt>
                <c:pt idx="10">
                  <c:v>Fmoc-Ile-OH</c:v>
                </c:pt>
                <c:pt idx="11">
                  <c:v>Fmoc-Leu-OH</c:v>
                </c:pt>
                <c:pt idx="12">
                  <c:v>Fmoc-nLeu-OH</c:v>
                </c:pt>
                <c:pt idx="13">
                  <c:v>Fmoc-Lys(Boc)-OH</c:v>
                </c:pt>
                <c:pt idx="14">
                  <c:v>Boc-Lys(Fmoc)-OH</c:v>
                </c:pt>
                <c:pt idx="15">
                  <c:v>Fmoc-Met-OH</c:v>
                </c:pt>
                <c:pt idx="16">
                  <c:v>Fmoc-Phe-OH</c:v>
                </c:pt>
                <c:pt idx="17">
                  <c:v>Fmoc-Phe(pBr)-OH</c:v>
                </c:pt>
                <c:pt idx="18">
                  <c:v>Fmoc-Phe(pI)-OH</c:v>
                </c:pt>
                <c:pt idx="19">
                  <c:v>Fmoc-Phe(5f)-OH</c:v>
                </c:pt>
                <c:pt idx="20">
                  <c:v>Fmoc-Pro-OH</c:v>
                </c:pt>
                <c:pt idx="21">
                  <c:v>Fmoc-Ser(Ac)</c:v>
                </c:pt>
                <c:pt idx="22">
                  <c:v>Fmoc-Ser(tBu)-OH</c:v>
                </c:pt>
                <c:pt idx="23">
                  <c:v>Fmoc-Thr(tBu)-OH</c:v>
                </c:pt>
                <c:pt idx="24">
                  <c:v>Fmoc-Trp-OH</c:v>
                </c:pt>
                <c:pt idx="25">
                  <c:v>Fmoc-Tyr(tBu)-OH</c:v>
                </c:pt>
                <c:pt idx="26">
                  <c:v>Fmoc-Val-OH</c:v>
                </c:pt>
                <c:pt idx="27">
                  <c:v>HCTU</c:v>
                </c:pt>
                <c:pt idx="28">
                  <c:v>HBTU</c:v>
                </c:pt>
                <c:pt idx="29">
                  <c:v>HOAt</c:v>
                </c:pt>
                <c:pt idx="30">
                  <c:v>Triflate</c:v>
                </c:pt>
                <c:pt idx="31">
                  <c:v>Acetate</c:v>
                </c:pt>
                <c:pt idx="32">
                  <c:v>Fmoc</c:v>
                </c:pt>
                <c:pt idx="33">
                  <c:v>Fmoc-AAA-NMe2</c:v>
                </c:pt>
                <c:pt idx="34">
                  <c:v>Fmoc-N-Methyl-Ala-OH</c:v>
                </c:pt>
                <c:pt idx="35">
                  <c:v>Fmoc-N-Methyl-Gly-OH</c:v>
                </c:pt>
                <c:pt idx="36">
                  <c:v>Fmoc-N-Methyl-Ile-OH</c:v>
                </c:pt>
                <c:pt idx="37">
                  <c:v>Fmoc-N-Methyl-Leu-OH</c:v>
                </c:pt>
                <c:pt idx="38">
                  <c:v>Fmoc-N-Methyl-nLeu-OH</c:v>
                </c:pt>
                <c:pt idx="39">
                  <c:v>Fmoc-N-Methyl-Phe-OH</c:v>
                </c:pt>
                <c:pt idx="40">
                  <c:v>Fmoc-N-Methyl-Tyr(tBu)-OH</c:v>
                </c:pt>
                <c:pt idx="41">
                  <c:v>Fmoc-N-Methyl-Val-OH</c:v>
                </c:pt>
                <c:pt idx="42">
                  <c:v>Boc-Orn(Fmoc)-OH</c:v>
                </c:pt>
                <c:pt idx="43">
                  <c:v>Fmoc-Hao-OH</c:v>
                </c:pt>
                <c:pt idx="44">
                  <c:v>Fmoc-Abc-OH</c:v>
                </c:pt>
              </c:strCache>
            </c:strRef>
          </c:cat>
          <c:val>
            <c:numRef>
              <c:f>'Molecular Weight'!$E$3:$E$47</c:f>
              <c:numCache>
                <c:formatCode>General</c:formatCode>
                <c:ptCount val="45"/>
                <c:pt idx="0">
                  <c:v>-1.3355999999999999</c:v>
                </c:pt>
                <c:pt idx="1">
                  <c:v>-3.0116000000000001</c:v>
                </c:pt>
                <c:pt idx="2">
                  <c:v>-2.2692999999999999</c:v>
                </c:pt>
                <c:pt idx="3">
                  <c:v>-4.7298</c:v>
                </c:pt>
                <c:pt idx="4">
                  <c:v>-1.2644</c:v>
                </c:pt>
                <c:pt idx="5">
                  <c:v>1.2150000000000001</c:v>
                </c:pt>
                <c:pt idx="6">
                  <c:v>-6.2236000000000002</c:v>
                </c:pt>
                <c:pt idx="7">
                  <c:v>-2.8986000000000001</c:v>
                </c:pt>
                <c:pt idx="8">
                  <c:v>-1.6446000000000001</c:v>
                </c:pt>
                <c:pt idx="9">
                  <c:v>-2.3186</c:v>
                </c:pt>
                <c:pt idx="10">
                  <c:v>0.12139999999999999</c:v>
                </c:pt>
                <c:pt idx="11">
                  <c:v>0.12139999999999999</c:v>
                </c:pt>
                <c:pt idx="12">
                  <c:v>0.25140000000000001</c:v>
                </c:pt>
                <c:pt idx="13">
                  <c:v>-1.5955999999999999</c:v>
                </c:pt>
                <c:pt idx="14">
                  <c:v>-1.5955999999999999</c:v>
                </c:pt>
                <c:pt idx="15">
                  <c:v>-1.1876</c:v>
                </c:pt>
                <c:pt idx="16">
                  <c:v>8.2400000000000001E-2</c:v>
                </c:pt>
                <c:pt idx="17">
                  <c:v>0.94540000000000002</c:v>
                </c:pt>
                <c:pt idx="18">
                  <c:v>1.2054</c:v>
                </c:pt>
                <c:pt idx="20">
                  <c:v>-0.95979999999999999</c:v>
                </c:pt>
                <c:pt idx="21">
                  <c:v>-2.8986000000000001</c:v>
                </c:pt>
                <c:pt idx="22">
                  <c:v>-2.1916000000000002</c:v>
                </c:pt>
                <c:pt idx="23">
                  <c:v>-1.8826000000000001</c:v>
                </c:pt>
                <c:pt idx="24">
                  <c:v>-1.3426</c:v>
                </c:pt>
                <c:pt idx="25">
                  <c:v>-0.58460000000000001</c:v>
                </c:pt>
                <c:pt idx="26">
                  <c:v>-0.40760000000000002</c:v>
                </c:pt>
                <c:pt idx="34">
                  <c:v>-0.90600000000000003</c:v>
                </c:pt>
                <c:pt idx="35">
                  <c:v>-1.2050000000000001</c:v>
                </c:pt>
                <c:pt idx="36">
                  <c:v>0.55100000000000005</c:v>
                </c:pt>
                <c:pt idx="37">
                  <c:v>0.55100000000000005</c:v>
                </c:pt>
                <c:pt idx="38">
                  <c:v>0.55100000000000005</c:v>
                </c:pt>
                <c:pt idx="39">
                  <c:v>0.51200000000000001</c:v>
                </c:pt>
                <c:pt idx="40">
                  <c:v>-0.155</c:v>
                </c:pt>
                <c:pt idx="41">
                  <c:v>2.1999999999999999E-2</c:v>
                </c:pt>
                <c:pt idx="42">
                  <c:v>-2.1246</c:v>
                </c:pt>
                <c:pt idx="43">
                  <c:v>-1.8486</c:v>
                </c:pt>
                <c:pt idx="44">
                  <c:v>0.96230000000000004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94272"/>
        <c:axId val="190094832"/>
      </c:barChart>
      <c:catAx>
        <c:axId val="190094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094832"/>
        <c:crosses val="autoZero"/>
        <c:auto val="1"/>
        <c:lblAlgn val="ctr"/>
        <c:lblOffset val="100"/>
        <c:noMultiLvlLbl val="0"/>
      </c:catAx>
      <c:valAx>
        <c:axId val="19009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094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9512510936132985"/>
                  <c:y val="-0.40213035870516184"/>
                </c:manualLayout>
              </c:layout>
              <c:numFmt formatCode="General" sourceLinked="0"/>
            </c:trendlineLbl>
          </c:trendline>
          <c:xVal>
            <c:numRef>
              <c:f>('Molecular Weight'!$D$3:$D$7,'Molecular Weight'!$D$9:$D$19,'Molecular Weight'!$D$23:$D$29)</c:f>
              <c:numCache>
                <c:formatCode>General</c:formatCode>
                <c:ptCount val="23"/>
                <c:pt idx="0">
                  <c:v>0.5</c:v>
                </c:pt>
                <c:pt idx="1">
                  <c:v>1.81</c:v>
                </c:pt>
                <c:pt idx="2">
                  <c:v>0.85</c:v>
                </c:pt>
                <c:pt idx="3">
                  <c:v>3.64</c:v>
                </c:pt>
                <c:pt idx="4">
                  <c:v>-0.02</c:v>
                </c:pt>
                <c:pt idx="5">
                  <c:v>3.63</c:v>
                </c:pt>
                <c:pt idx="6">
                  <c:v>0.77</c:v>
                </c:pt>
                <c:pt idx="7">
                  <c:v>1.1499999999999999</c:v>
                </c:pt>
                <c:pt idx="8">
                  <c:v>2.33</c:v>
                </c:pt>
                <c:pt idx="9">
                  <c:v>-1.1200000000000001</c:v>
                </c:pt>
                <c:pt idx="10">
                  <c:v>-1.25</c:v>
                </c:pt>
                <c:pt idx="11">
                  <c:v>-1.25</c:v>
                </c:pt>
                <c:pt idx="12">
                  <c:v>2.8</c:v>
                </c:pt>
                <c:pt idx="13">
                  <c:v>2.8</c:v>
                </c:pt>
                <c:pt idx="14">
                  <c:v>-0.67</c:v>
                </c:pt>
                <c:pt idx="15">
                  <c:v>-1.71</c:v>
                </c:pt>
                <c:pt idx="16">
                  <c:v>0.14000000000000001</c:v>
                </c:pt>
                <c:pt idx="17">
                  <c:v>0.46</c:v>
                </c:pt>
                <c:pt idx="18">
                  <c:v>0.46</c:v>
                </c:pt>
                <c:pt idx="19">
                  <c:v>0.25</c:v>
                </c:pt>
                <c:pt idx="20">
                  <c:v>-2.09</c:v>
                </c:pt>
                <c:pt idx="21">
                  <c:v>-0.71</c:v>
                </c:pt>
                <c:pt idx="22">
                  <c:v>-0.46</c:v>
                </c:pt>
              </c:numCache>
            </c:numRef>
          </c:xVal>
          <c:yVal>
            <c:numRef>
              <c:f>('Molecular Weight'!$E$3:$E$7,'Molecular Weight'!$E$9:$E$19,'Molecular Weight'!$E$23:$E$29)</c:f>
              <c:numCache>
                <c:formatCode>General</c:formatCode>
                <c:ptCount val="23"/>
                <c:pt idx="0">
                  <c:v>-1.3355999999999999</c:v>
                </c:pt>
                <c:pt idx="1">
                  <c:v>-3.0116000000000001</c:v>
                </c:pt>
                <c:pt idx="2">
                  <c:v>-2.2692999999999999</c:v>
                </c:pt>
                <c:pt idx="3">
                  <c:v>-4.7298</c:v>
                </c:pt>
                <c:pt idx="4">
                  <c:v>-1.2644</c:v>
                </c:pt>
                <c:pt idx="5">
                  <c:v>-6.2236000000000002</c:v>
                </c:pt>
                <c:pt idx="6">
                  <c:v>-2.8986000000000001</c:v>
                </c:pt>
                <c:pt idx="7">
                  <c:v>-1.6446000000000001</c:v>
                </c:pt>
                <c:pt idx="8">
                  <c:v>-2.3186</c:v>
                </c:pt>
                <c:pt idx="9">
                  <c:v>0.12139999999999999</c:v>
                </c:pt>
                <c:pt idx="10">
                  <c:v>0.12139999999999999</c:v>
                </c:pt>
                <c:pt idx="11">
                  <c:v>0.25140000000000001</c:v>
                </c:pt>
                <c:pt idx="12">
                  <c:v>-1.5955999999999999</c:v>
                </c:pt>
                <c:pt idx="13">
                  <c:v>-1.5955999999999999</c:v>
                </c:pt>
                <c:pt idx="14">
                  <c:v>-1.1876</c:v>
                </c:pt>
                <c:pt idx="15">
                  <c:v>8.2400000000000001E-2</c:v>
                </c:pt>
                <c:pt idx="16">
                  <c:v>-0.95979999999999999</c:v>
                </c:pt>
                <c:pt idx="17">
                  <c:v>-2.8986000000000001</c:v>
                </c:pt>
                <c:pt idx="18">
                  <c:v>-2.1916000000000002</c:v>
                </c:pt>
                <c:pt idx="19">
                  <c:v>-1.8826000000000001</c:v>
                </c:pt>
                <c:pt idx="20">
                  <c:v>-1.3426</c:v>
                </c:pt>
                <c:pt idx="21">
                  <c:v>-0.58460000000000001</c:v>
                </c:pt>
                <c:pt idx="22">
                  <c:v>-0.40760000000000002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493968"/>
        <c:axId val="190494528"/>
      </c:scatterChart>
      <c:valAx>
        <c:axId val="19049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494528"/>
        <c:crosses val="autoZero"/>
        <c:crossBetween val="midCat"/>
      </c:valAx>
      <c:valAx>
        <c:axId val="190494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493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$Y$5" lockText="1"/>
</file>

<file path=xl/ctrlProps/ctrlProp10.xml><?xml version="1.0" encoding="utf-8"?>
<formControlPr xmlns="http://schemas.microsoft.com/office/spreadsheetml/2009/9/main" objectType="CheckBox" checked="Checked" fmlaLink="$Y$14" lockText="1"/>
</file>

<file path=xl/ctrlProps/ctrlProp11.xml><?xml version="1.0" encoding="utf-8"?>
<formControlPr xmlns="http://schemas.microsoft.com/office/spreadsheetml/2009/9/main" objectType="CheckBox" checked="Checked" fmlaLink="$Y$15" lockText="1"/>
</file>

<file path=xl/ctrlProps/ctrlProp12.xml><?xml version="1.0" encoding="utf-8"?>
<formControlPr xmlns="http://schemas.microsoft.com/office/spreadsheetml/2009/9/main" objectType="CheckBox" checked="Checked" fmlaLink="$Y$16" lockText="1"/>
</file>

<file path=xl/ctrlProps/ctrlProp13.xml><?xml version="1.0" encoding="utf-8"?>
<formControlPr xmlns="http://schemas.microsoft.com/office/spreadsheetml/2009/9/main" objectType="CheckBox" checked="Checked" fmlaLink="$Y$17" lockText="1"/>
</file>

<file path=xl/ctrlProps/ctrlProp14.xml><?xml version="1.0" encoding="utf-8"?>
<formControlPr xmlns="http://schemas.microsoft.com/office/spreadsheetml/2009/9/main" objectType="CheckBox" checked="Checked" fmlaLink="$Y$18" lockText="1"/>
</file>

<file path=xl/ctrlProps/ctrlProp15.xml><?xml version="1.0" encoding="utf-8"?>
<formControlPr xmlns="http://schemas.microsoft.com/office/spreadsheetml/2009/9/main" objectType="CheckBox" checked="Checked" fmlaLink="$Y$19" lockText="1"/>
</file>

<file path=xl/ctrlProps/ctrlProp16.xml><?xml version="1.0" encoding="utf-8"?>
<formControlPr xmlns="http://schemas.microsoft.com/office/spreadsheetml/2009/9/main" objectType="CheckBox" checked="Checked" fmlaLink="$Y$20" lockText="1"/>
</file>

<file path=xl/ctrlProps/ctrlProp17.xml><?xml version="1.0" encoding="utf-8"?>
<formControlPr xmlns="http://schemas.microsoft.com/office/spreadsheetml/2009/9/main" objectType="CheckBox" fmlaLink="$Y$21" lockText="1"/>
</file>

<file path=xl/ctrlProps/ctrlProp18.xml><?xml version="1.0" encoding="utf-8"?>
<formControlPr xmlns="http://schemas.microsoft.com/office/spreadsheetml/2009/9/main" objectType="CheckBox" fmlaLink="$Y$22" lockText="1"/>
</file>

<file path=xl/ctrlProps/ctrlProp19.xml><?xml version="1.0" encoding="utf-8"?>
<formControlPr xmlns="http://schemas.microsoft.com/office/spreadsheetml/2009/9/main" objectType="CheckBox" fmlaLink="$Y$23" lockText="1"/>
</file>

<file path=xl/ctrlProps/ctrlProp2.xml><?xml version="1.0" encoding="utf-8"?>
<formControlPr xmlns="http://schemas.microsoft.com/office/spreadsheetml/2009/9/main" objectType="CheckBox" checked="Checked" fmlaLink="$Y$6" lockText="1"/>
</file>

<file path=xl/ctrlProps/ctrlProp20.xml><?xml version="1.0" encoding="utf-8"?>
<formControlPr xmlns="http://schemas.microsoft.com/office/spreadsheetml/2009/9/main" objectType="CheckBox" fmlaLink="$Y$24" lockText="1"/>
</file>

<file path=xl/ctrlProps/ctrlProp21.xml><?xml version="1.0" encoding="utf-8"?>
<formControlPr xmlns="http://schemas.microsoft.com/office/spreadsheetml/2009/9/main" objectType="CheckBox" fmlaLink="$Y$25" lockText="1"/>
</file>

<file path=xl/ctrlProps/ctrlProp22.xml><?xml version="1.0" encoding="utf-8"?>
<formControlPr xmlns="http://schemas.microsoft.com/office/spreadsheetml/2009/9/main" objectType="CheckBox" fmlaLink="$Y$26" lockText="1"/>
</file>

<file path=xl/ctrlProps/ctrlProp23.xml><?xml version="1.0" encoding="utf-8"?>
<formControlPr xmlns="http://schemas.microsoft.com/office/spreadsheetml/2009/9/main" objectType="CheckBox" fmlaLink="$Y$27" lockText="1"/>
</file>

<file path=xl/ctrlProps/ctrlProp24.xml><?xml version="1.0" encoding="utf-8"?>
<formControlPr xmlns="http://schemas.microsoft.com/office/spreadsheetml/2009/9/main" objectType="CheckBox" fmlaLink="$Y$28" lockText="1"/>
</file>

<file path=xl/ctrlProps/ctrlProp25.xml><?xml version="1.0" encoding="utf-8"?>
<formControlPr xmlns="http://schemas.microsoft.com/office/spreadsheetml/2009/9/main" objectType="CheckBox" fmlaLink="$Y$29" lockText="1"/>
</file>

<file path=xl/ctrlProps/ctrlProp26.xml><?xml version="1.0" encoding="utf-8"?>
<formControlPr xmlns="http://schemas.microsoft.com/office/spreadsheetml/2009/9/main" objectType="CheckBox" fmlaLink="$Y$30" lockText="1"/>
</file>

<file path=xl/ctrlProps/ctrlProp27.xml><?xml version="1.0" encoding="utf-8"?>
<formControlPr xmlns="http://schemas.microsoft.com/office/spreadsheetml/2009/9/main" objectType="CheckBox" fmlaLink="$Y$31" lockText="1"/>
</file>

<file path=xl/ctrlProps/ctrlProp28.xml><?xml version="1.0" encoding="utf-8"?>
<formControlPr xmlns="http://schemas.microsoft.com/office/spreadsheetml/2009/9/main" objectType="CheckBox" fmlaLink="$Y$33" lockText="1"/>
</file>

<file path=xl/ctrlProps/ctrlProp29.xml><?xml version="1.0" encoding="utf-8"?>
<formControlPr xmlns="http://schemas.microsoft.com/office/spreadsheetml/2009/9/main" objectType="CheckBox" fmlaLink="$Y$32" lockText="1"/>
</file>

<file path=xl/ctrlProps/ctrlProp3.xml><?xml version="1.0" encoding="utf-8"?>
<formControlPr xmlns="http://schemas.microsoft.com/office/spreadsheetml/2009/9/main" objectType="CheckBox" checked="Checked" fmlaLink="$Y$7" lockText="1"/>
</file>

<file path=xl/ctrlProps/ctrlProp30.xml><?xml version="1.0" encoding="utf-8"?>
<formControlPr xmlns="http://schemas.microsoft.com/office/spreadsheetml/2009/9/main" objectType="CheckBox" fmlaLink="$Y$35" lockText="1"/>
</file>

<file path=xl/ctrlProps/ctrlProp31.xml><?xml version="1.0" encoding="utf-8"?>
<formControlPr xmlns="http://schemas.microsoft.com/office/spreadsheetml/2009/9/main" objectType="CheckBox" fmlaLink="$Y$34" lockText="1"/>
</file>

<file path=xl/ctrlProps/ctrlProp32.xml><?xml version="1.0" encoding="utf-8"?>
<formControlPr xmlns="http://schemas.microsoft.com/office/spreadsheetml/2009/9/main" objectType="CheckBox" fmlaLink="$Y$36" lockText="1"/>
</file>

<file path=xl/ctrlProps/ctrlProp33.xml><?xml version="1.0" encoding="utf-8"?>
<formControlPr xmlns="http://schemas.microsoft.com/office/spreadsheetml/2009/9/main" objectType="CheckBox" fmlaLink="$Y$37" lockText="1"/>
</file>

<file path=xl/ctrlProps/ctrlProp34.xml><?xml version="1.0" encoding="utf-8"?>
<formControlPr xmlns="http://schemas.microsoft.com/office/spreadsheetml/2009/9/main" objectType="CheckBox" fmlaLink="$Y$38" lockText="1"/>
</file>

<file path=xl/ctrlProps/ctrlProp35.xml><?xml version="1.0" encoding="utf-8"?>
<formControlPr xmlns="http://schemas.microsoft.com/office/spreadsheetml/2009/9/main" objectType="CheckBox" fmlaLink="$Y$39" lockText="1"/>
</file>

<file path=xl/ctrlProps/ctrlProp36.xml><?xml version="1.0" encoding="utf-8"?>
<formControlPr xmlns="http://schemas.microsoft.com/office/spreadsheetml/2009/9/main" objectType="CheckBox" fmlaLink="$Y$40" lockText="1"/>
</file>

<file path=xl/ctrlProps/ctrlProp37.xml><?xml version="1.0" encoding="utf-8"?>
<formControlPr xmlns="http://schemas.microsoft.com/office/spreadsheetml/2009/9/main" objectType="CheckBox" fmlaLink="$Y$41" lockText="1"/>
</file>

<file path=xl/ctrlProps/ctrlProp38.xml><?xml version="1.0" encoding="utf-8"?>
<formControlPr xmlns="http://schemas.microsoft.com/office/spreadsheetml/2009/9/main" objectType="CheckBox" fmlaLink="$Y$42" lockText="1"/>
</file>

<file path=xl/ctrlProps/ctrlProp39.xml><?xml version="1.0" encoding="utf-8"?>
<formControlPr xmlns="http://schemas.microsoft.com/office/spreadsheetml/2009/9/main" objectType="CheckBox" fmlaLink="$Y$43" lockText="1"/>
</file>

<file path=xl/ctrlProps/ctrlProp4.xml><?xml version="1.0" encoding="utf-8"?>
<formControlPr xmlns="http://schemas.microsoft.com/office/spreadsheetml/2009/9/main" objectType="CheckBox" checked="Checked" fmlaLink="$Y$8" lockText="1"/>
</file>

<file path=xl/ctrlProps/ctrlProp40.xml><?xml version="1.0" encoding="utf-8"?>
<formControlPr xmlns="http://schemas.microsoft.com/office/spreadsheetml/2009/9/main" objectType="CheckBox" fmlaLink="$Y$44" lockText="1"/>
</file>

<file path=xl/ctrlProps/ctrlProp41.xml><?xml version="1.0" encoding="utf-8"?>
<formControlPr xmlns="http://schemas.microsoft.com/office/spreadsheetml/2009/9/main" objectType="CheckBox" fmlaLink="$Y$45" lockText="1"/>
</file>

<file path=xl/ctrlProps/ctrlProp42.xml><?xml version="1.0" encoding="utf-8"?>
<formControlPr xmlns="http://schemas.microsoft.com/office/spreadsheetml/2009/9/main" objectType="CheckBox" fmlaLink="$Y$46" lockText="1"/>
</file>

<file path=xl/ctrlProps/ctrlProp43.xml><?xml version="1.0" encoding="utf-8"?>
<formControlPr xmlns="http://schemas.microsoft.com/office/spreadsheetml/2009/9/main" objectType="CheckBox" fmlaLink="$Y$47" lockText="1"/>
</file>

<file path=xl/ctrlProps/ctrlProp44.xml><?xml version="1.0" encoding="utf-8"?>
<formControlPr xmlns="http://schemas.microsoft.com/office/spreadsheetml/2009/9/main" objectType="CheckBox" fmlaLink="$Y$48" lockText="1"/>
</file>

<file path=xl/ctrlProps/ctrlProp45.xml><?xml version="1.0" encoding="utf-8"?>
<formControlPr xmlns="http://schemas.microsoft.com/office/spreadsheetml/2009/9/main" objectType="CheckBox" fmlaLink="$Y$49" lockText="1"/>
</file>

<file path=xl/ctrlProps/ctrlProp5.xml><?xml version="1.0" encoding="utf-8"?>
<formControlPr xmlns="http://schemas.microsoft.com/office/spreadsheetml/2009/9/main" objectType="CheckBox" checked="Checked" fmlaLink="$Y$9" lockText="1"/>
</file>

<file path=xl/ctrlProps/ctrlProp6.xml><?xml version="1.0" encoding="utf-8"?>
<formControlPr xmlns="http://schemas.microsoft.com/office/spreadsheetml/2009/9/main" objectType="CheckBox" checked="Checked" fmlaLink="$Y$10" lockText="1"/>
</file>

<file path=xl/ctrlProps/ctrlProp7.xml><?xml version="1.0" encoding="utf-8"?>
<formControlPr xmlns="http://schemas.microsoft.com/office/spreadsheetml/2009/9/main" objectType="CheckBox" checked="Checked" fmlaLink="$Y$11" lockText="1"/>
</file>

<file path=xl/ctrlProps/ctrlProp8.xml><?xml version="1.0" encoding="utf-8"?>
<formControlPr xmlns="http://schemas.microsoft.com/office/spreadsheetml/2009/9/main" objectType="CheckBox" checked="Checked" fmlaLink="$Y$12" lockText="1"/>
</file>

<file path=xl/ctrlProps/ctrlProp9.xml><?xml version="1.0" encoding="utf-8"?>
<formControlPr xmlns="http://schemas.microsoft.com/office/spreadsheetml/2009/9/main" objectType="CheckBox" checked="Checked" fmlaLink="$Y$13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3</xdr:row>
          <xdr:rowOff>171450</xdr:rowOff>
        </xdr:from>
        <xdr:to>
          <xdr:col>3</xdr:col>
          <xdr:colOff>19050</xdr:colOff>
          <xdr:row>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4</xdr:row>
          <xdr:rowOff>152400</xdr:rowOff>
        </xdr:from>
        <xdr:to>
          <xdr:col>3</xdr:col>
          <xdr:colOff>19050</xdr:colOff>
          <xdr:row>5</xdr:row>
          <xdr:rowOff>180975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5</xdr:row>
          <xdr:rowOff>161925</xdr:rowOff>
        </xdr:from>
        <xdr:to>
          <xdr:col>3</xdr:col>
          <xdr:colOff>19050</xdr:colOff>
          <xdr:row>7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6</xdr:row>
          <xdr:rowOff>171450</xdr:rowOff>
        </xdr:from>
        <xdr:to>
          <xdr:col>3</xdr:col>
          <xdr:colOff>28575</xdr:colOff>
          <xdr:row>8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7</xdr:row>
          <xdr:rowOff>171450</xdr:rowOff>
        </xdr:from>
        <xdr:to>
          <xdr:col>3</xdr:col>
          <xdr:colOff>28575</xdr:colOff>
          <xdr:row>9</xdr:row>
          <xdr:rowOff>9525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8</xdr:row>
          <xdr:rowOff>171450</xdr:rowOff>
        </xdr:from>
        <xdr:to>
          <xdr:col>3</xdr:col>
          <xdr:colOff>28575</xdr:colOff>
          <xdr:row>10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9</xdr:row>
          <xdr:rowOff>171450</xdr:rowOff>
        </xdr:from>
        <xdr:to>
          <xdr:col>3</xdr:col>
          <xdr:colOff>28575</xdr:colOff>
          <xdr:row>11</xdr:row>
          <xdr:rowOff>9525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10</xdr:row>
          <xdr:rowOff>161925</xdr:rowOff>
        </xdr:from>
        <xdr:to>
          <xdr:col>3</xdr:col>
          <xdr:colOff>19050</xdr:colOff>
          <xdr:row>12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11</xdr:row>
          <xdr:rowOff>171450</xdr:rowOff>
        </xdr:from>
        <xdr:to>
          <xdr:col>3</xdr:col>
          <xdr:colOff>28575</xdr:colOff>
          <xdr:row>13</xdr:row>
          <xdr:rowOff>9525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12</xdr:row>
          <xdr:rowOff>171450</xdr:rowOff>
        </xdr:from>
        <xdr:to>
          <xdr:col>3</xdr:col>
          <xdr:colOff>19050</xdr:colOff>
          <xdr:row>14</xdr:row>
          <xdr:rowOff>9525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13</xdr:row>
          <xdr:rowOff>161925</xdr:rowOff>
        </xdr:from>
        <xdr:to>
          <xdr:col>3</xdr:col>
          <xdr:colOff>9525</xdr:colOff>
          <xdr:row>15</xdr:row>
          <xdr:rowOff>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14</xdr:row>
          <xdr:rowOff>161925</xdr:rowOff>
        </xdr:from>
        <xdr:to>
          <xdr:col>3</xdr:col>
          <xdr:colOff>28575</xdr:colOff>
          <xdr:row>16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15</xdr:row>
          <xdr:rowOff>161925</xdr:rowOff>
        </xdr:from>
        <xdr:to>
          <xdr:col>3</xdr:col>
          <xdr:colOff>28575</xdr:colOff>
          <xdr:row>17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16</xdr:row>
          <xdr:rowOff>161925</xdr:rowOff>
        </xdr:from>
        <xdr:to>
          <xdr:col>3</xdr:col>
          <xdr:colOff>38100</xdr:colOff>
          <xdr:row>18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17</xdr:row>
          <xdr:rowOff>171450</xdr:rowOff>
        </xdr:from>
        <xdr:to>
          <xdr:col>3</xdr:col>
          <xdr:colOff>38100</xdr:colOff>
          <xdr:row>19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18</xdr:row>
          <xdr:rowOff>161925</xdr:rowOff>
        </xdr:from>
        <xdr:to>
          <xdr:col>3</xdr:col>
          <xdr:colOff>28575</xdr:colOff>
          <xdr:row>20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19</xdr:row>
          <xdr:rowOff>161925</xdr:rowOff>
        </xdr:from>
        <xdr:to>
          <xdr:col>3</xdr:col>
          <xdr:colOff>28575</xdr:colOff>
          <xdr:row>21</xdr:row>
          <xdr:rowOff>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20</xdr:row>
          <xdr:rowOff>152400</xdr:rowOff>
        </xdr:from>
        <xdr:to>
          <xdr:col>3</xdr:col>
          <xdr:colOff>19050</xdr:colOff>
          <xdr:row>21</xdr:row>
          <xdr:rowOff>180975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21</xdr:row>
          <xdr:rowOff>171450</xdr:rowOff>
        </xdr:from>
        <xdr:to>
          <xdr:col>3</xdr:col>
          <xdr:colOff>19050</xdr:colOff>
          <xdr:row>23</xdr:row>
          <xdr:rowOff>9525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22</xdr:row>
          <xdr:rowOff>171450</xdr:rowOff>
        </xdr:from>
        <xdr:to>
          <xdr:col>3</xdr:col>
          <xdr:colOff>19050</xdr:colOff>
          <xdr:row>24</xdr:row>
          <xdr:rowOff>9525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23</xdr:row>
          <xdr:rowOff>180975</xdr:rowOff>
        </xdr:from>
        <xdr:to>
          <xdr:col>3</xdr:col>
          <xdr:colOff>28575</xdr:colOff>
          <xdr:row>25</xdr:row>
          <xdr:rowOff>19050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24</xdr:row>
          <xdr:rowOff>171450</xdr:rowOff>
        </xdr:from>
        <xdr:to>
          <xdr:col>3</xdr:col>
          <xdr:colOff>38100</xdr:colOff>
          <xdr:row>26</xdr:row>
          <xdr:rowOff>9525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25</xdr:row>
          <xdr:rowOff>180975</xdr:rowOff>
        </xdr:from>
        <xdr:to>
          <xdr:col>3</xdr:col>
          <xdr:colOff>38100</xdr:colOff>
          <xdr:row>27</xdr:row>
          <xdr:rowOff>19050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27</xdr:row>
          <xdr:rowOff>0</xdr:rowOff>
        </xdr:from>
        <xdr:to>
          <xdr:col>3</xdr:col>
          <xdr:colOff>38100</xdr:colOff>
          <xdr:row>28</xdr:row>
          <xdr:rowOff>28575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27</xdr:row>
          <xdr:rowOff>171450</xdr:rowOff>
        </xdr:from>
        <xdr:to>
          <xdr:col>3</xdr:col>
          <xdr:colOff>38100</xdr:colOff>
          <xdr:row>29</xdr:row>
          <xdr:rowOff>9525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28</xdr:row>
          <xdr:rowOff>180975</xdr:rowOff>
        </xdr:from>
        <xdr:to>
          <xdr:col>3</xdr:col>
          <xdr:colOff>47625</xdr:colOff>
          <xdr:row>30</xdr:row>
          <xdr:rowOff>19050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29</xdr:row>
          <xdr:rowOff>171450</xdr:rowOff>
        </xdr:from>
        <xdr:to>
          <xdr:col>3</xdr:col>
          <xdr:colOff>28575</xdr:colOff>
          <xdr:row>31</xdr:row>
          <xdr:rowOff>9525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31</xdr:row>
          <xdr:rowOff>171450</xdr:rowOff>
        </xdr:from>
        <xdr:to>
          <xdr:col>3</xdr:col>
          <xdr:colOff>28575</xdr:colOff>
          <xdr:row>33</xdr:row>
          <xdr:rowOff>9525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30</xdr:row>
          <xdr:rowOff>142875</xdr:rowOff>
        </xdr:from>
        <xdr:to>
          <xdr:col>3</xdr:col>
          <xdr:colOff>28575</xdr:colOff>
          <xdr:row>31</xdr:row>
          <xdr:rowOff>171450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33</xdr:row>
          <xdr:rowOff>171450</xdr:rowOff>
        </xdr:from>
        <xdr:to>
          <xdr:col>3</xdr:col>
          <xdr:colOff>47625</xdr:colOff>
          <xdr:row>35</xdr:row>
          <xdr:rowOff>9525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32</xdr:row>
          <xdr:rowOff>171450</xdr:rowOff>
        </xdr:from>
        <xdr:to>
          <xdr:col>3</xdr:col>
          <xdr:colOff>47625</xdr:colOff>
          <xdr:row>34</xdr:row>
          <xdr:rowOff>9525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34</xdr:row>
          <xdr:rowOff>180975</xdr:rowOff>
        </xdr:from>
        <xdr:to>
          <xdr:col>3</xdr:col>
          <xdr:colOff>47625</xdr:colOff>
          <xdr:row>36</xdr:row>
          <xdr:rowOff>19050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35</xdr:row>
          <xdr:rowOff>180975</xdr:rowOff>
        </xdr:from>
        <xdr:to>
          <xdr:col>3</xdr:col>
          <xdr:colOff>57150</xdr:colOff>
          <xdr:row>37</xdr:row>
          <xdr:rowOff>19050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37</xdr:row>
          <xdr:rowOff>0</xdr:rowOff>
        </xdr:from>
        <xdr:to>
          <xdr:col>3</xdr:col>
          <xdr:colOff>57150</xdr:colOff>
          <xdr:row>38</xdr:row>
          <xdr:rowOff>28575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38</xdr:row>
          <xdr:rowOff>0</xdr:rowOff>
        </xdr:from>
        <xdr:to>
          <xdr:col>3</xdr:col>
          <xdr:colOff>47625</xdr:colOff>
          <xdr:row>39</xdr:row>
          <xdr:rowOff>28575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38</xdr:row>
          <xdr:rowOff>171450</xdr:rowOff>
        </xdr:from>
        <xdr:to>
          <xdr:col>3</xdr:col>
          <xdr:colOff>57150</xdr:colOff>
          <xdr:row>40</xdr:row>
          <xdr:rowOff>9525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39</xdr:row>
          <xdr:rowOff>180975</xdr:rowOff>
        </xdr:from>
        <xdr:to>
          <xdr:col>3</xdr:col>
          <xdr:colOff>57150</xdr:colOff>
          <xdr:row>41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40</xdr:row>
          <xdr:rowOff>180975</xdr:rowOff>
        </xdr:from>
        <xdr:to>
          <xdr:col>3</xdr:col>
          <xdr:colOff>57150</xdr:colOff>
          <xdr:row>42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42</xdr:row>
          <xdr:rowOff>0</xdr:rowOff>
        </xdr:from>
        <xdr:to>
          <xdr:col>3</xdr:col>
          <xdr:colOff>38100</xdr:colOff>
          <xdr:row>43</xdr:row>
          <xdr:rowOff>28575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42</xdr:row>
          <xdr:rowOff>180975</xdr:rowOff>
        </xdr:from>
        <xdr:to>
          <xdr:col>3</xdr:col>
          <xdr:colOff>28575</xdr:colOff>
          <xdr:row>44</xdr:row>
          <xdr:rowOff>19050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1409700</xdr:colOff>
          <xdr:row>43</xdr:row>
          <xdr:rowOff>171450</xdr:rowOff>
        </xdr:from>
        <xdr:to>
          <xdr:col>3</xdr:col>
          <xdr:colOff>47625</xdr:colOff>
          <xdr:row>45</xdr:row>
          <xdr:rowOff>9525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44</xdr:row>
          <xdr:rowOff>180975</xdr:rowOff>
        </xdr:from>
        <xdr:to>
          <xdr:col>3</xdr:col>
          <xdr:colOff>38100</xdr:colOff>
          <xdr:row>46</xdr:row>
          <xdr:rowOff>19050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45</xdr:row>
          <xdr:rowOff>161925</xdr:rowOff>
        </xdr:from>
        <xdr:to>
          <xdr:col>3</xdr:col>
          <xdr:colOff>28575</xdr:colOff>
          <xdr:row>47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46</xdr:row>
          <xdr:rowOff>180975</xdr:rowOff>
        </xdr:from>
        <xdr:to>
          <xdr:col>3</xdr:col>
          <xdr:colOff>19050</xdr:colOff>
          <xdr:row>48</xdr:row>
          <xdr:rowOff>19050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47</xdr:row>
          <xdr:rowOff>180975</xdr:rowOff>
        </xdr:from>
        <xdr:to>
          <xdr:col>3</xdr:col>
          <xdr:colOff>28575</xdr:colOff>
          <xdr:row>49</xdr:row>
          <xdr:rowOff>19050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2</xdr:row>
      <xdr:rowOff>61912</xdr:rowOff>
    </xdr:from>
    <xdr:to>
      <xdr:col>18</xdr:col>
      <xdr:colOff>333375</xdr:colOff>
      <xdr:row>12</xdr:row>
      <xdr:rowOff>138112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176212</xdr:colOff>
      <xdr:row>6</xdr:row>
      <xdr:rowOff>42862</xdr:rowOff>
    </xdr:from>
    <xdr:to>
      <xdr:col>18</xdr:col>
      <xdr:colOff>481012</xdr:colOff>
      <xdr:row>17</xdr:row>
      <xdr:rowOff>119062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257175</xdr:colOff>
      <xdr:row>17</xdr:row>
      <xdr:rowOff>109537</xdr:rowOff>
    </xdr:from>
    <xdr:to>
      <xdr:col>18</xdr:col>
      <xdr:colOff>561975</xdr:colOff>
      <xdr:row>31</xdr:row>
      <xdr:rowOff>185737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247650</xdr:colOff>
      <xdr:row>6</xdr:row>
      <xdr:rowOff>0</xdr:rowOff>
    </xdr:from>
    <xdr:to>
      <xdr:col>13</xdr:col>
      <xdr:colOff>552450</xdr:colOff>
      <xdr:row>17</xdr:row>
      <xdr:rowOff>14287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</xdr:colOff>
      <xdr:row>30</xdr:row>
      <xdr:rowOff>185737</xdr:rowOff>
    </xdr:from>
    <xdr:to>
      <xdr:col>26</xdr:col>
      <xdr:colOff>276224</xdr:colOff>
      <xdr:row>47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76200</xdr:colOff>
      <xdr:row>16</xdr:row>
      <xdr:rowOff>23812</xdr:rowOff>
    </xdr:from>
    <xdr:to>
      <xdr:col>29</xdr:col>
      <xdr:colOff>381000</xdr:colOff>
      <xdr:row>30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an%20Laptop/Documents/Lab%20Research/Molecular%20rod%20macrocycle/Template%20AA%20sequences%20notebook_ver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AA Exact Masses 2"/>
      <sheetName val="Sheet3"/>
    </sheetNames>
    <sheetDataSet>
      <sheetData sheetId="0" refreshError="1"/>
      <sheetData sheetId="1">
        <row r="3">
          <cell r="A3" t="str">
            <v>HCTU</v>
          </cell>
        </row>
        <row r="4">
          <cell r="A4" t="str">
            <v>Fmoc-Ala-OH</v>
          </cell>
        </row>
        <row r="5">
          <cell r="A5" t="str">
            <v>Fmoc-Arg(Pbf)-OH</v>
          </cell>
        </row>
        <row r="6">
          <cell r="A6" t="str">
            <v>Fmoc-Asn(Trt)-OH</v>
          </cell>
        </row>
        <row r="7">
          <cell r="A7" t="str">
            <v>Fmoc-Asp(tBu)-OH</v>
          </cell>
        </row>
        <row r="8">
          <cell r="A8" t="str">
            <v>Fmoc-Cys(Trt)-OH</v>
          </cell>
        </row>
        <row r="9">
          <cell r="A9" t="str">
            <v>Fmoc-Glu(OtBu)-OH</v>
          </cell>
        </row>
        <row r="10">
          <cell r="A10" t="str">
            <v>Fmoc-Gln(Trt)-OH</v>
          </cell>
        </row>
        <row r="11">
          <cell r="A11" t="str">
            <v>Fmoc-Gly-OH</v>
          </cell>
        </row>
        <row r="12">
          <cell r="A12" t="str">
            <v>Fmoc-His(Boc)-OH</v>
          </cell>
        </row>
        <row r="13">
          <cell r="A13" t="str">
            <v>Fmoc-Ile-OH</v>
          </cell>
        </row>
        <row r="14">
          <cell r="A14" t="str">
            <v>Fmoc-Leu-OH</v>
          </cell>
        </row>
        <row r="15">
          <cell r="A15" t="str">
            <v>Fmoc-Lys(Boc)-OH</v>
          </cell>
        </row>
        <row r="16">
          <cell r="A16" t="str">
            <v>Boc-Lys(Fmoc)-OH</v>
          </cell>
        </row>
        <row r="17">
          <cell r="A17" t="str">
            <v>Fmoc-Met-OH</v>
          </cell>
        </row>
        <row r="18">
          <cell r="A18" t="str">
            <v>Fmoc-Phe-OH</v>
          </cell>
        </row>
        <row r="19">
          <cell r="A19" t="str">
            <v>Fmoc-Pro-OH</v>
          </cell>
        </row>
        <row r="20">
          <cell r="A20" t="str">
            <v>Fmoc-Ser(tBu)-OH</v>
          </cell>
        </row>
        <row r="21">
          <cell r="A21" t="str">
            <v>Fmoc-Thr(tBu)-OH</v>
          </cell>
        </row>
        <row r="22">
          <cell r="A22" t="str">
            <v>Fmoc-Trp-OH</v>
          </cell>
        </row>
        <row r="23">
          <cell r="A23" t="str">
            <v>Fmoc-Tyr(Boc)-OH</v>
          </cell>
        </row>
        <row r="24">
          <cell r="A24" t="str">
            <v>Fmoc-Tyr(tBu)-OH</v>
          </cell>
        </row>
        <row r="25">
          <cell r="A25" t="str">
            <v>Fmoc-Val-OH</v>
          </cell>
        </row>
        <row r="26">
          <cell r="A26" t="str">
            <v>Fmoc-AAA-NMe2</v>
          </cell>
        </row>
        <row r="27">
          <cell r="A27" t="str">
            <v>Boc-Orn(Fmoc)-OH</v>
          </cell>
        </row>
        <row r="28">
          <cell r="A28" t="str">
            <v>Fmoc-Hao-OH</v>
          </cell>
        </row>
        <row r="29">
          <cell r="A29" t="str">
            <v>Fmoc-Abc-OH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hyperlink" Target="http://mods.rna.albany.edu/masspec/MoIE" TargetMode="External"/><Relationship Id="rId6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7"/>
  <sheetViews>
    <sheetView tabSelected="1" workbookViewId="0">
      <selection activeCell="B28" sqref="B28"/>
    </sheetView>
  </sheetViews>
  <sheetFormatPr defaultRowHeight="15" x14ac:dyDescent="0.25"/>
  <cols>
    <col min="1" max="1" width="3.140625" customWidth="1"/>
    <col min="2" max="2" width="25.85546875" customWidth="1"/>
    <col min="3" max="3" width="7.7109375" customWidth="1"/>
    <col min="4" max="4" width="9.140625" hidden="1" customWidth="1"/>
    <col min="5" max="5" width="12.28515625" customWidth="1"/>
    <col min="6" max="6" width="19.7109375" customWidth="1"/>
    <col min="8" max="8" width="11.140625" customWidth="1"/>
    <col min="9" max="9" width="0" hidden="1" customWidth="1"/>
    <col min="10" max="10" width="20.28515625" hidden="1" customWidth="1"/>
    <col min="11" max="11" width="10.85546875" hidden="1" customWidth="1"/>
    <col min="12" max="12" width="9.140625" hidden="1" customWidth="1"/>
    <col min="13" max="14" width="0" hidden="1" customWidth="1"/>
    <col min="15" max="15" width="9.140625" hidden="1" customWidth="1"/>
  </cols>
  <sheetData>
    <row r="1" spans="1:15" x14ac:dyDescent="0.25">
      <c r="B1" s="57" t="s">
        <v>325</v>
      </c>
      <c r="C1" s="58">
        <f>SUM(O14:O44)*0.9</f>
        <v>14.4</v>
      </c>
      <c r="D1" s="58"/>
      <c r="E1" s="57" t="s">
        <v>326</v>
      </c>
    </row>
    <row r="3" spans="1:15" x14ac:dyDescent="0.25">
      <c r="B3" s="4" t="s">
        <v>108</v>
      </c>
      <c r="C3" s="38">
        <v>0.3</v>
      </c>
      <c r="D3" s="39"/>
      <c r="F3" s="4" t="s">
        <v>109</v>
      </c>
      <c r="G3" s="40">
        <f>C3*C4*C5</f>
        <v>0.15840000000000001</v>
      </c>
      <c r="L3" t="s">
        <v>168</v>
      </c>
    </row>
    <row r="4" spans="1:15" x14ac:dyDescent="0.25">
      <c r="B4" s="4" t="s">
        <v>110</v>
      </c>
      <c r="C4" s="41">
        <v>0.33</v>
      </c>
      <c r="D4" s="42"/>
      <c r="E4" s="4" t="s">
        <v>111</v>
      </c>
      <c r="F4" s="47" t="s">
        <v>112</v>
      </c>
      <c r="G4" s="43">
        <f>IF(F4="","",VLOOKUP(F4, 'AA Exact Masses'!A3:E52,5,FALSE))</f>
        <v>454.42119000000002</v>
      </c>
      <c r="H4" s="4" t="s">
        <v>113</v>
      </c>
      <c r="J4" t="s">
        <v>153</v>
      </c>
      <c r="K4" s="3">
        <f>IF(J4="","",VLOOKUP(J4,'AA Exact Masses'!U2:Y6,5,FALSE)*L4*(G11/(SUM(D14:D38))))</f>
        <v>0</v>
      </c>
      <c r="L4">
        <v>4</v>
      </c>
    </row>
    <row r="5" spans="1:15" x14ac:dyDescent="0.25">
      <c r="B5" s="4" t="s">
        <v>114</v>
      </c>
      <c r="C5" s="44">
        <v>1.6</v>
      </c>
      <c r="D5" s="45"/>
      <c r="F5" s="4" t="s">
        <v>115</v>
      </c>
      <c r="G5" s="43">
        <f>G4*G3</f>
        <v>71.980316496000015</v>
      </c>
      <c r="J5" t="str">
        <f>IF(J4="","", IF(J4="HCTU","",IF(J4="HBTU","HOBt",IF(J4="HATU","HOAt",""))))</f>
        <v>HOBt</v>
      </c>
      <c r="K5" s="3">
        <f>IF(J5="","",(VLOOKUP(J5,'AA Exact Masses'!U2:Y6,5,FALSE))*L5*(G11/(SUM(D14:D38))))</f>
        <v>0</v>
      </c>
      <c r="L5">
        <v>4</v>
      </c>
    </row>
    <row r="6" spans="1:15" x14ac:dyDescent="0.25">
      <c r="B6" s="4"/>
      <c r="F6" s="4"/>
      <c r="J6" t="s">
        <v>167</v>
      </c>
      <c r="K6" s="3">
        <f>(C11*L6*129)/0.742</f>
        <v>0</v>
      </c>
      <c r="L6">
        <v>8</v>
      </c>
    </row>
    <row r="7" spans="1:15" x14ac:dyDescent="0.25">
      <c r="B7" s="4" t="s">
        <v>116</v>
      </c>
      <c r="C7" s="38">
        <v>0.65</v>
      </c>
      <c r="D7" s="39"/>
      <c r="F7" s="4" t="s">
        <v>117</v>
      </c>
      <c r="G7" s="43">
        <f>IF(C7="","No Value",(C7/1.65)*(1/C8))</f>
        <v>0.39393939393939398</v>
      </c>
      <c r="H7" t="s">
        <v>158</v>
      </c>
    </row>
    <row r="8" spans="1:15" x14ac:dyDescent="0.25">
      <c r="B8" s="4" t="s">
        <v>118</v>
      </c>
      <c r="C8" s="38">
        <v>1</v>
      </c>
      <c r="D8" s="39"/>
      <c r="F8" s="4" t="s">
        <v>119</v>
      </c>
      <c r="G8" s="43">
        <f>IF(G7="No Value","No Value",(G7*C3)/(C4*C5*C3)*100)</f>
        <v>74.609733700642792</v>
      </c>
    </row>
    <row r="9" spans="1:15" x14ac:dyDescent="0.25">
      <c r="J9" s="3" t="s">
        <v>363</v>
      </c>
      <c r="K9">
        <f>'Mass Ion Calculations'!W6+'Mass Ion Calculations'!W8+'Mass Ion Calculations'!W10+'Mass Ion Calculations'!W12+'Mass Ion Calculations'!W14+'Mass Ion Calculations'!W16+'Mass Ion Calculations'!W18+'Mass Ion Calculations'!W20+'Mass Ion Calculations'!W22+'Mass Ion Calculations'!W24</f>
        <v>-2.901630434782609</v>
      </c>
    </row>
    <row r="10" spans="1:15" x14ac:dyDescent="0.25">
      <c r="B10" s="4" t="s">
        <v>120</v>
      </c>
      <c r="C10" s="3">
        <f>G7*C3</f>
        <v>0.11818181818181819</v>
      </c>
      <c r="F10" s="46" t="s">
        <v>157</v>
      </c>
      <c r="G10" s="3">
        <f>(SUM($D$14:$D$38)+$G$4-258.3+36)*C10</f>
        <v>271.84149909090911</v>
      </c>
      <c r="J10" t="s">
        <v>364</v>
      </c>
      <c r="K10" t="e">
        <f>'Mass Ion Calculations'!W5+'Mass Ion Calculations'!W7+'Mass Ion Calculations'!W9+'Mass Ion Calculations'!W11+'Mass Ion Calculations'!W13+'Mass Ion Calculations'!W15+'Mass Ion Calculations'!W17+'Mass Ion Calculations'!W19</f>
        <v>#N/A</v>
      </c>
    </row>
    <row r="11" spans="1:15" x14ac:dyDescent="0.25">
      <c r="B11" s="4" t="s">
        <v>161</v>
      </c>
      <c r="C11" s="3">
        <f>G11/SUM(D14:D38)</f>
        <v>0</v>
      </c>
      <c r="F11" s="46" t="s">
        <v>160</v>
      </c>
      <c r="G11" s="3">
        <v>0</v>
      </c>
      <c r="J11" t="s">
        <v>365</v>
      </c>
      <c r="K11" t="e">
        <f>K9-K10</f>
        <v>#N/A</v>
      </c>
    </row>
    <row r="12" spans="1:15" x14ac:dyDescent="0.25">
      <c r="B12" s="46"/>
    </row>
    <row r="13" spans="1:15" x14ac:dyDescent="0.25">
      <c r="B13" s="13" t="s">
        <v>121</v>
      </c>
      <c r="C13" s="13" t="s">
        <v>298</v>
      </c>
      <c r="D13" s="51"/>
      <c r="E13" s="60" t="s">
        <v>113</v>
      </c>
      <c r="F13" s="60" t="s">
        <v>122</v>
      </c>
      <c r="G13" s="60" t="s">
        <v>123</v>
      </c>
      <c r="H13" s="60" t="s">
        <v>362</v>
      </c>
    </row>
    <row r="14" spans="1:15" x14ac:dyDescent="0.25">
      <c r="A14" s="4">
        <v>1</v>
      </c>
      <c r="B14" s="38" t="s">
        <v>129</v>
      </c>
      <c r="C14" s="54">
        <v>12</v>
      </c>
      <c r="D14" s="51">
        <f>IF(B14="","",VLOOKUP(B14,'AA Exact Masses'!$A$3:$E$52,3,FALSE))</f>
        <v>71.037109999999998</v>
      </c>
      <c r="E14" s="52">
        <f>IF(B14="","",VLOOKUP(B14, 'AA Exact Masses'!$A$3:$E$52,5,FALSE))</f>
        <v>311.33</v>
      </c>
      <c r="F14" s="53">
        <v>4</v>
      </c>
      <c r="G14" s="59">
        <f>IF(E14="","",C$10*E14*F14)</f>
        <v>147.17418181818184</v>
      </c>
      <c r="H14" s="51" t="s">
        <v>131</v>
      </c>
      <c r="O14">
        <f t="shared" ref="O14:O57" si="0">IF(C14=12,1,IF(C14=13,2,IF(C14=14,2,IF(C14=10,8,IF(C14=11,8,0)))))</f>
        <v>1</v>
      </c>
    </row>
    <row r="15" spans="1:15" x14ac:dyDescent="0.25">
      <c r="A15" s="4">
        <f>IF(B15="","",A14+1)</f>
        <v>2</v>
      </c>
      <c r="B15" s="38" t="s">
        <v>139</v>
      </c>
      <c r="C15" s="54">
        <v>12</v>
      </c>
      <c r="D15" s="51">
        <f>IF(B15="","",VLOOKUP(B15,'AA Exact Masses'!$A$3:$E$52,3,FALSE))</f>
        <v>113.08405999999999</v>
      </c>
      <c r="E15" s="52">
        <f>IF(B15="","",VLOOKUP(B15, 'AA Exact Masses'!$A$3:$E$52,5,FALSE))</f>
        <v>353.4</v>
      </c>
      <c r="F15" s="53">
        <v>4</v>
      </c>
      <c r="G15" s="59">
        <f t="shared" ref="G15:G39" si="1">IF(E15="","",C$10*E15*F15)</f>
        <v>167.06181818181818</v>
      </c>
      <c r="H15" s="51" t="s">
        <v>131</v>
      </c>
      <c r="O15">
        <f>IF(C15=12,1,IF(C15=13,2,IF(C15=14,2,IF(C15=10,8,IF(C15=11,8,0)))))</f>
        <v>1</v>
      </c>
    </row>
    <row r="16" spans="1:15" x14ac:dyDescent="0.25">
      <c r="A16" s="4">
        <f t="shared" ref="A16:A53" si="2">IF(B16="","",A15+1)</f>
        <v>3</v>
      </c>
      <c r="B16" s="38" t="s">
        <v>139</v>
      </c>
      <c r="C16" s="54">
        <v>12</v>
      </c>
      <c r="D16" s="51">
        <f>IF(B16="","",VLOOKUP(B16,'AA Exact Masses'!$A$3:$E$52,3,FALSE))</f>
        <v>113.08405999999999</v>
      </c>
      <c r="E16" s="52">
        <f>IF(B16="","",VLOOKUP(B16, 'AA Exact Masses'!$A$3:$E$52,5,FALSE))</f>
        <v>353.4</v>
      </c>
      <c r="F16" s="53">
        <v>4</v>
      </c>
      <c r="G16" s="59">
        <f t="shared" si="1"/>
        <v>167.06181818181818</v>
      </c>
      <c r="H16" s="51" t="s">
        <v>131</v>
      </c>
      <c r="O16">
        <f t="shared" si="0"/>
        <v>1</v>
      </c>
    </row>
    <row r="17" spans="1:15" x14ac:dyDescent="0.25">
      <c r="A17" s="4">
        <f t="shared" si="2"/>
        <v>4</v>
      </c>
      <c r="B17" s="38" t="s">
        <v>169</v>
      </c>
      <c r="C17" s="54">
        <v>12</v>
      </c>
      <c r="D17" s="51">
        <f>IF(B17="","",VLOOKUP(B17,'AA Exact Masses'!$A$3:$E$52,3,FALSE))</f>
        <v>71.037109999999998</v>
      </c>
      <c r="E17" s="52">
        <f>IF(B17="","",VLOOKUP(B17, 'AA Exact Masses'!$A$3:$E$52,5,FALSE))</f>
        <v>311.11576000000002</v>
      </c>
      <c r="F17" s="53">
        <v>4</v>
      </c>
      <c r="G17" s="59">
        <f t="shared" si="1"/>
        <v>147.07290472727274</v>
      </c>
      <c r="H17" s="51" t="s">
        <v>131</v>
      </c>
      <c r="O17">
        <f t="shared" si="0"/>
        <v>1</v>
      </c>
    </row>
    <row r="18" spans="1:15" x14ac:dyDescent="0.25">
      <c r="A18" s="4">
        <f t="shared" si="2"/>
        <v>5</v>
      </c>
      <c r="B18" s="38" t="s">
        <v>126</v>
      </c>
      <c r="C18" s="54">
        <v>12</v>
      </c>
      <c r="D18" s="51">
        <f>IF(B18="","",VLOOKUP(B18,'AA Exact Masses'!$A$3:$E$52,3,FALSE))</f>
        <v>113.08405999999999</v>
      </c>
      <c r="E18" s="52">
        <f>IF(B18="","",VLOOKUP(B18, 'AA Exact Masses'!$A$3:$E$52,5,FALSE))</f>
        <v>353.4</v>
      </c>
      <c r="F18" s="53">
        <v>4</v>
      </c>
      <c r="G18" s="59">
        <f t="shared" si="1"/>
        <v>167.06181818181818</v>
      </c>
      <c r="H18" s="51" t="s">
        <v>131</v>
      </c>
      <c r="O18">
        <f>IF(C18=12,1,IF(C18=13,2,IF(C18=14,2,IF(C18=10,8,IF(C18=11,8,0)))))</f>
        <v>1</v>
      </c>
    </row>
    <row r="19" spans="1:15" x14ac:dyDescent="0.25">
      <c r="A19" s="4">
        <f t="shared" si="2"/>
        <v>6</v>
      </c>
      <c r="B19" s="38" t="s">
        <v>571</v>
      </c>
      <c r="C19" s="54">
        <v>12</v>
      </c>
      <c r="D19" s="51">
        <f>IF(B19="","",VLOOKUP(B19,'AA Exact Masses'!$A$3:$E$52,3,FALSE))</f>
        <v>214.13175000000001</v>
      </c>
      <c r="E19" s="52">
        <f>IF(B19="","",VLOOKUP(B19, 'AA Exact Masses'!$A$3:$E$52,5,FALSE))</f>
        <v>454.42119000000002</v>
      </c>
      <c r="F19" s="53">
        <v>4</v>
      </c>
      <c r="G19" s="59">
        <f t="shared" si="1"/>
        <v>214.81728981818185</v>
      </c>
      <c r="H19" s="51" t="s">
        <v>131</v>
      </c>
      <c r="O19">
        <f t="shared" si="0"/>
        <v>1</v>
      </c>
    </row>
    <row r="20" spans="1:15" x14ac:dyDescent="0.25">
      <c r="A20" s="4">
        <f t="shared" si="2"/>
        <v>7</v>
      </c>
      <c r="B20" s="38" t="s">
        <v>127</v>
      </c>
      <c r="C20" s="54">
        <v>12</v>
      </c>
      <c r="D20" s="51">
        <f>IF(B20="","",VLOOKUP(B20,'AA Exact Masses'!$A$3:$E$52,3,FALSE))</f>
        <v>99.06841</v>
      </c>
      <c r="E20" s="52">
        <f>IF(B20="","",VLOOKUP(B20, 'AA Exact Masses'!$A$3:$E$52,5,FALSE))</f>
        <v>339.35785000000004</v>
      </c>
      <c r="F20" s="53">
        <v>4</v>
      </c>
      <c r="G20" s="59">
        <f t="shared" si="1"/>
        <v>160.42371090909094</v>
      </c>
      <c r="H20" s="51" t="s">
        <v>131</v>
      </c>
      <c r="O20">
        <f t="shared" si="0"/>
        <v>1</v>
      </c>
    </row>
    <row r="21" spans="1:15" x14ac:dyDescent="0.25">
      <c r="A21" s="4">
        <f t="shared" si="2"/>
        <v>8</v>
      </c>
      <c r="B21" s="38" t="s">
        <v>112</v>
      </c>
      <c r="C21" s="54">
        <v>12</v>
      </c>
      <c r="D21" s="51">
        <f>IF(B21="","",VLOOKUP(B21,'AA Exact Masses'!$A$3:$E$52,3,FALSE))</f>
        <v>214.13175000000001</v>
      </c>
      <c r="E21" s="52">
        <f>IF(B21="","",VLOOKUP(B21, 'AA Exact Masses'!$A$3:$E$52,5,FALSE))</f>
        <v>454.42119000000002</v>
      </c>
      <c r="F21" s="53">
        <v>4</v>
      </c>
      <c r="G21" s="59">
        <f t="shared" si="1"/>
        <v>214.81728981818185</v>
      </c>
      <c r="H21" s="51" t="s">
        <v>131</v>
      </c>
      <c r="O21">
        <f t="shared" si="0"/>
        <v>1</v>
      </c>
    </row>
    <row r="22" spans="1:15" x14ac:dyDescent="0.25">
      <c r="A22" s="4">
        <f t="shared" si="2"/>
        <v>9</v>
      </c>
      <c r="B22" s="38" t="s">
        <v>130</v>
      </c>
      <c r="C22" s="54">
        <v>12</v>
      </c>
      <c r="D22" s="51">
        <f>IF(B22="","",VLOOKUP(B22,'AA Exact Masses'!$A$3:$E$52,3,FALSE))</f>
        <v>185.1052</v>
      </c>
      <c r="E22" s="52">
        <f>IF(B22="","",VLOOKUP(B22, 'AA Exact Masses'!$A$3:$E$52,5,FALSE))</f>
        <v>425.5</v>
      </c>
      <c r="F22" s="53">
        <v>4</v>
      </c>
      <c r="G22" s="59">
        <f t="shared" si="1"/>
        <v>201.14545454545456</v>
      </c>
      <c r="H22" s="51" t="s">
        <v>131</v>
      </c>
      <c r="O22">
        <f t="shared" si="0"/>
        <v>1</v>
      </c>
    </row>
    <row r="23" spans="1:15" x14ac:dyDescent="0.25">
      <c r="A23" s="4">
        <f t="shared" si="2"/>
        <v>10</v>
      </c>
      <c r="B23" s="38" t="s">
        <v>134</v>
      </c>
      <c r="C23" s="54">
        <v>12</v>
      </c>
      <c r="D23" s="51">
        <f>IF(B23="","",VLOOKUP(B23,'AA Exact Masses'!$A$3:$E$52,3,FALSE))</f>
        <v>171.08955</v>
      </c>
      <c r="E23" s="52">
        <f>IF(B23="","",VLOOKUP(B23, 'AA Exact Masses'!$A$3:$E$52,5,FALSE))</f>
        <v>411.5</v>
      </c>
      <c r="F23" s="53">
        <v>4</v>
      </c>
      <c r="G23" s="59">
        <f t="shared" si="1"/>
        <v>194.52727272727276</v>
      </c>
      <c r="H23" s="51" t="s">
        <v>131</v>
      </c>
      <c r="O23">
        <f t="shared" si="0"/>
        <v>1</v>
      </c>
    </row>
    <row r="24" spans="1:15" x14ac:dyDescent="0.25">
      <c r="A24">
        <f t="shared" si="2"/>
        <v>11</v>
      </c>
      <c r="B24" s="38" t="s">
        <v>129</v>
      </c>
      <c r="C24" s="54">
        <v>12</v>
      </c>
      <c r="D24" s="51">
        <f>IF(B24="","",VLOOKUP(B24,'AA Exact Masses'!$A$3:$E$52,3,FALSE))</f>
        <v>71.037109999999998</v>
      </c>
      <c r="E24" s="52">
        <f>IF(B24="","",VLOOKUP(B24, 'AA Exact Masses'!$A$3:$E$52,5,FALSE))</f>
        <v>311.33</v>
      </c>
      <c r="F24" s="53">
        <v>4</v>
      </c>
      <c r="G24" s="59">
        <f t="shared" si="1"/>
        <v>147.17418181818184</v>
      </c>
      <c r="H24" s="51" t="s">
        <v>131</v>
      </c>
      <c r="O24">
        <f t="shared" si="0"/>
        <v>1</v>
      </c>
    </row>
    <row r="25" spans="1:15" x14ac:dyDescent="0.25">
      <c r="A25">
        <f t="shared" si="2"/>
        <v>12</v>
      </c>
      <c r="B25" s="38" t="s">
        <v>128</v>
      </c>
      <c r="C25" s="54">
        <v>12</v>
      </c>
      <c r="D25" s="51">
        <f>IF(B25="","",VLOOKUP(B25,'AA Exact Masses'!$A$3:$E$52,3,FALSE))</f>
        <v>147.06841</v>
      </c>
      <c r="E25" s="52">
        <f>IF(B25="","",VLOOKUP(B25, 'AA Exact Masses'!$A$3:$E$52,5,FALSE))</f>
        <v>387.45</v>
      </c>
      <c r="F25" s="53">
        <v>4</v>
      </c>
      <c r="G25" s="59">
        <f t="shared" si="1"/>
        <v>183.15818181818184</v>
      </c>
      <c r="H25" s="51" t="s">
        <v>131</v>
      </c>
      <c r="O25">
        <f t="shared" si="0"/>
        <v>1</v>
      </c>
    </row>
    <row r="26" spans="1:15" x14ac:dyDescent="0.25">
      <c r="A26">
        <f t="shared" si="2"/>
        <v>13</v>
      </c>
      <c r="B26" s="38" t="s">
        <v>570</v>
      </c>
      <c r="C26" s="54">
        <v>12</v>
      </c>
      <c r="D26" s="51">
        <f>IF(B26="","",VLOOKUP(B26,'AA Exact Masses'!$A$3:$E$52,3,FALSE))</f>
        <v>272.96505999999999</v>
      </c>
      <c r="E26" s="52">
        <f>IF(B26="","",VLOOKUP(B26, 'AA Exact Masses'!$A$3:$E$52,5,FALSE))</f>
        <v>513.32470000000001</v>
      </c>
      <c r="F26" s="53">
        <v>4</v>
      </c>
      <c r="G26" s="59">
        <f t="shared" si="1"/>
        <v>242.66258545454548</v>
      </c>
      <c r="H26" s="51" t="s">
        <v>131</v>
      </c>
      <c r="O26">
        <f t="shared" si="0"/>
        <v>1</v>
      </c>
    </row>
    <row r="27" spans="1:15" x14ac:dyDescent="0.25">
      <c r="A27">
        <f t="shared" si="2"/>
        <v>14</v>
      </c>
      <c r="B27" s="38" t="s">
        <v>127</v>
      </c>
      <c r="C27" s="54">
        <v>12</v>
      </c>
      <c r="D27" s="51">
        <f>IF(B27="","",VLOOKUP(B27,'AA Exact Masses'!$A$3:$E$52,3,FALSE))</f>
        <v>99.06841</v>
      </c>
      <c r="E27" s="52">
        <f>IF(B27="","",VLOOKUP(B27, 'AA Exact Masses'!$A$3:$E$52,5,FALSE))</f>
        <v>339.35785000000004</v>
      </c>
      <c r="F27" s="53">
        <v>4</v>
      </c>
      <c r="G27" s="59">
        <f t="shared" si="1"/>
        <v>160.42371090909094</v>
      </c>
      <c r="H27" s="51" t="s">
        <v>131</v>
      </c>
      <c r="O27">
        <f t="shared" si="0"/>
        <v>1</v>
      </c>
    </row>
    <row r="28" spans="1:15" x14ac:dyDescent="0.25">
      <c r="A28">
        <f t="shared" si="2"/>
        <v>15</v>
      </c>
      <c r="B28" s="38" t="s">
        <v>126</v>
      </c>
      <c r="C28" s="54">
        <v>12</v>
      </c>
      <c r="D28" s="51">
        <f>IF(B28="","",VLOOKUP(B28,'AA Exact Masses'!$A$3:$E$52,3,FALSE))</f>
        <v>113.08405999999999</v>
      </c>
      <c r="E28" s="52">
        <f>IF(B28="","",VLOOKUP(B28, 'AA Exact Masses'!$A$3:$E$52,5,FALSE))</f>
        <v>353.4</v>
      </c>
      <c r="F28" s="53">
        <v>4</v>
      </c>
      <c r="G28" s="59">
        <f t="shared" si="1"/>
        <v>167.06181818181818</v>
      </c>
      <c r="H28" s="51" t="s">
        <v>131</v>
      </c>
      <c r="O28">
        <f t="shared" si="0"/>
        <v>1</v>
      </c>
    </row>
    <row r="29" spans="1:15" x14ac:dyDescent="0.25">
      <c r="A29" t="str">
        <f t="shared" si="2"/>
        <v/>
      </c>
      <c r="B29" s="38"/>
      <c r="C29" s="54">
        <v>12</v>
      </c>
      <c r="D29" s="51" t="str">
        <f>IF(B29="","",VLOOKUP(B29,'AA Exact Masses'!$A$3:$E$52,3,FALSE))</f>
        <v/>
      </c>
      <c r="E29" s="52" t="str">
        <f>IF(B29="","",VLOOKUP(B29, 'AA Exact Masses'!$A$3:$E$52,5,FALSE))</f>
        <v/>
      </c>
      <c r="F29" s="53">
        <v>4</v>
      </c>
      <c r="G29" s="59" t="str">
        <f t="shared" si="1"/>
        <v/>
      </c>
      <c r="H29" s="51" t="s">
        <v>131</v>
      </c>
      <c r="O29">
        <f t="shared" si="0"/>
        <v>1</v>
      </c>
    </row>
    <row r="30" spans="1:15" x14ac:dyDescent="0.25">
      <c r="A30" t="e">
        <f t="shared" si="2"/>
        <v>#VALUE!</v>
      </c>
      <c r="B30" s="38" t="s">
        <v>154</v>
      </c>
      <c r="C30" s="54"/>
      <c r="D30" s="51">
        <f>IF(B30="","",VLOOKUP(B30,'AA Exact Masses'!$A$3:$E$52,3,FALSE))</f>
        <v>0</v>
      </c>
      <c r="E30" s="52">
        <f>IF(B30="","",VLOOKUP(B30, 'AA Exact Masses'!$A$3:$E$52,5,FALSE))</f>
        <v>136.11000000000001</v>
      </c>
      <c r="F30" s="53">
        <v>4</v>
      </c>
      <c r="G30" s="59">
        <f t="shared" si="1"/>
        <v>64.342909090909103</v>
      </c>
      <c r="H30" s="51"/>
      <c r="O30">
        <f t="shared" si="0"/>
        <v>0</v>
      </c>
    </row>
    <row r="31" spans="1:15" x14ac:dyDescent="0.25">
      <c r="A31" t="e">
        <f t="shared" si="2"/>
        <v>#VALUE!</v>
      </c>
      <c r="B31" s="38" t="s">
        <v>131</v>
      </c>
      <c r="C31" s="54"/>
      <c r="D31" s="51">
        <f>IF(B31="","",VLOOKUP(B31,'AA Exact Masses'!$A$3:$E$52,3,FALSE))</f>
        <v>0</v>
      </c>
      <c r="E31" s="52">
        <f>IF(B31="","",VLOOKUP(B31, 'AA Exact Masses'!$A$3:$E$52,5,FALSE))</f>
        <v>413.7</v>
      </c>
      <c r="F31" s="53">
        <v>4</v>
      </c>
      <c r="G31" s="59">
        <f t="shared" si="1"/>
        <v>195.56727272727275</v>
      </c>
      <c r="H31" s="51"/>
      <c r="O31">
        <f t="shared" si="0"/>
        <v>0</v>
      </c>
    </row>
    <row r="32" spans="1:15" x14ac:dyDescent="0.25">
      <c r="A32" t="str">
        <f t="shared" si="2"/>
        <v/>
      </c>
      <c r="B32" s="38"/>
      <c r="C32" s="54"/>
      <c r="D32" s="51" t="str">
        <f>IF(B32="","",VLOOKUP(B32,'AA Exact Masses'!$A$3:$E$52,3,FALSE))</f>
        <v/>
      </c>
      <c r="E32" s="52" t="str">
        <f>IF(B32="","",VLOOKUP(B32, 'AA Exact Masses'!$A$3:$E$52,5,FALSE))</f>
        <v/>
      </c>
      <c r="F32" s="53"/>
      <c r="G32" s="59" t="str">
        <f t="shared" si="1"/>
        <v/>
      </c>
      <c r="H32" s="51"/>
      <c r="O32">
        <f t="shared" si="0"/>
        <v>0</v>
      </c>
    </row>
    <row r="33" spans="1:15" x14ac:dyDescent="0.25">
      <c r="A33" t="str">
        <f t="shared" si="2"/>
        <v/>
      </c>
      <c r="B33" s="38"/>
      <c r="C33" s="56"/>
      <c r="D33" s="51" t="str">
        <f>IF(B33="","",VLOOKUP(B33,'AA Exact Masses'!$A$3:$E$52,3,FALSE))</f>
        <v/>
      </c>
      <c r="E33" s="52" t="str">
        <f>IF(B33="","",VLOOKUP(B33, 'AA Exact Masses'!$A$3:$E$52,5,FALSE))</f>
        <v/>
      </c>
      <c r="F33" s="53"/>
      <c r="G33" s="59" t="str">
        <f t="shared" si="1"/>
        <v/>
      </c>
      <c r="H33" s="51"/>
      <c r="O33">
        <f t="shared" si="0"/>
        <v>0</v>
      </c>
    </row>
    <row r="34" spans="1:15" x14ac:dyDescent="0.25">
      <c r="A34" t="str">
        <f t="shared" si="2"/>
        <v/>
      </c>
      <c r="B34" s="38"/>
      <c r="C34" s="56"/>
      <c r="D34" s="51" t="str">
        <f>IF(B34="","",VLOOKUP(B34,'AA Exact Masses'!$A$3:$E$52,3,FALSE))</f>
        <v/>
      </c>
      <c r="E34" s="52" t="str">
        <f>IF(B34="","",VLOOKUP(B34, 'AA Exact Masses'!$A$3:$E$52,5,FALSE))</f>
        <v/>
      </c>
      <c r="F34" s="53"/>
      <c r="G34" s="59" t="str">
        <f t="shared" si="1"/>
        <v/>
      </c>
      <c r="H34" s="51"/>
      <c r="O34">
        <f t="shared" si="0"/>
        <v>0</v>
      </c>
    </row>
    <row r="35" spans="1:15" x14ac:dyDescent="0.25">
      <c r="A35" t="str">
        <f t="shared" si="2"/>
        <v/>
      </c>
      <c r="B35" s="38"/>
      <c r="C35" s="56"/>
      <c r="D35" s="51" t="str">
        <f>IF(B35="","",VLOOKUP(B35,'AA Exact Masses'!$A$3:$E$52,3,FALSE))</f>
        <v/>
      </c>
      <c r="E35" s="52" t="str">
        <f>IF(B35="","",VLOOKUP(B35, 'AA Exact Masses'!$A$3:$E$52,5,FALSE))</f>
        <v/>
      </c>
      <c r="F35" s="53"/>
      <c r="G35" s="59" t="str">
        <f>IF(E35="","",C$10*E35*F35)</f>
        <v/>
      </c>
      <c r="H35" s="51"/>
      <c r="O35">
        <f t="shared" si="0"/>
        <v>0</v>
      </c>
    </row>
    <row r="36" spans="1:15" x14ac:dyDescent="0.25">
      <c r="A36" t="str">
        <f t="shared" si="2"/>
        <v/>
      </c>
      <c r="B36" s="38"/>
      <c r="C36" s="56"/>
      <c r="D36" s="51" t="str">
        <f>IF(B36="","",VLOOKUP(B36,'AA Exact Masses'!$A$3:$E$52,3,FALSE))</f>
        <v/>
      </c>
      <c r="E36" s="52" t="str">
        <f>IF(B36="","",VLOOKUP(B36, 'AA Exact Masses'!$A$3:$E$52,5,FALSE))</f>
        <v/>
      </c>
      <c r="F36" s="53"/>
      <c r="G36" s="59" t="str">
        <f t="shared" si="1"/>
        <v/>
      </c>
      <c r="H36" s="51"/>
      <c r="O36">
        <f t="shared" si="0"/>
        <v>0</v>
      </c>
    </row>
    <row r="37" spans="1:15" x14ac:dyDescent="0.25">
      <c r="A37" t="str">
        <f t="shared" si="2"/>
        <v/>
      </c>
      <c r="B37" s="38"/>
      <c r="C37" s="51"/>
      <c r="D37" s="51" t="str">
        <f>IF(B37="","",VLOOKUP(B37,'AA Exact Masses'!$A$3:$E$52,3,FALSE))</f>
        <v/>
      </c>
      <c r="E37" s="52" t="str">
        <f>IF(B37="","",VLOOKUP(B37, 'AA Exact Masses'!$A$3:$E$52,5,FALSE))</f>
        <v/>
      </c>
      <c r="F37" s="53"/>
      <c r="G37" s="59" t="str">
        <f t="shared" si="1"/>
        <v/>
      </c>
      <c r="H37" s="51"/>
      <c r="O37">
        <f t="shared" si="0"/>
        <v>0</v>
      </c>
    </row>
    <row r="38" spans="1:15" x14ac:dyDescent="0.25">
      <c r="A38" t="str">
        <f t="shared" si="2"/>
        <v/>
      </c>
      <c r="B38" s="38"/>
      <c r="C38" s="51"/>
      <c r="D38" s="51" t="str">
        <f>IF(B38="","",VLOOKUP(B38,'AA Exact Masses'!$A$3:$E$52,3,FALSE))</f>
        <v/>
      </c>
      <c r="E38" s="52" t="str">
        <f>IF(B38="","",VLOOKUP(B38, 'AA Exact Masses'!$A$3:$E$52,5,FALSE))</f>
        <v/>
      </c>
      <c r="F38" s="53"/>
      <c r="G38" s="59" t="str">
        <f t="shared" si="1"/>
        <v/>
      </c>
      <c r="H38" s="51"/>
      <c r="O38">
        <f t="shared" si="0"/>
        <v>0</v>
      </c>
    </row>
    <row r="39" spans="1:15" x14ac:dyDescent="0.25">
      <c r="A39" t="str">
        <f t="shared" si="2"/>
        <v/>
      </c>
      <c r="B39" s="38"/>
      <c r="C39" s="51"/>
      <c r="D39" s="51"/>
      <c r="E39" s="52" t="str">
        <f>IF(B39="","",VLOOKUP(B39, 'AA Exact Masses'!$A$3:$E$52,5,FALSE))</f>
        <v/>
      </c>
      <c r="F39" s="53"/>
      <c r="G39" s="59" t="str">
        <f t="shared" si="1"/>
        <v/>
      </c>
      <c r="H39" s="51"/>
      <c r="O39">
        <f t="shared" si="0"/>
        <v>0</v>
      </c>
    </row>
    <row r="40" spans="1:15" x14ac:dyDescent="0.25">
      <c r="A40" t="str">
        <f t="shared" si="2"/>
        <v/>
      </c>
      <c r="B40" s="38"/>
      <c r="C40" s="51"/>
      <c r="D40" s="51"/>
      <c r="E40" s="52" t="str">
        <f>IF(B40="","",VLOOKUP(B40, 'AA Exact Masses'!$A$3:$E$52,5,FALSE))</f>
        <v/>
      </c>
      <c r="F40" s="53"/>
      <c r="G40" s="59" t="str">
        <f t="shared" ref="G40:G53" si="3">IF(E40="","",C$10*E40*F40)</f>
        <v/>
      </c>
      <c r="H40" s="51"/>
      <c r="O40">
        <f t="shared" si="0"/>
        <v>0</v>
      </c>
    </row>
    <row r="41" spans="1:15" x14ac:dyDescent="0.25">
      <c r="A41" t="str">
        <f t="shared" si="2"/>
        <v/>
      </c>
      <c r="B41" s="38"/>
      <c r="C41" s="51"/>
      <c r="D41" s="51"/>
      <c r="E41" s="52" t="str">
        <f>IF(B41="","",VLOOKUP(B41, 'AA Exact Masses'!$A$3:$E$52,5,FALSE))</f>
        <v/>
      </c>
      <c r="F41" s="53"/>
      <c r="G41" s="59" t="str">
        <f t="shared" si="3"/>
        <v/>
      </c>
      <c r="H41" s="51"/>
      <c r="O41">
        <f t="shared" si="0"/>
        <v>0</v>
      </c>
    </row>
    <row r="42" spans="1:15" x14ac:dyDescent="0.25">
      <c r="A42" t="str">
        <f t="shared" si="2"/>
        <v/>
      </c>
      <c r="B42" s="38"/>
      <c r="C42" s="51"/>
      <c r="D42" s="51"/>
      <c r="E42" s="52" t="str">
        <f>IF(B42="","",VLOOKUP(B42, 'AA Exact Masses'!$A$3:$E$52,5,FALSE))</f>
        <v/>
      </c>
      <c r="F42" s="53"/>
      <c r="G42" s="59" t="str">
        <f t="shared" si="3"/>
        <v/>
      </c>
      <c r="H42" s="51"/>
      <c r="O42">
        <f t="shared" si="0"/>
        <v>0</v>
      </c>
    </row>
    <row r="43" spans="1:15" x14ac:dyDescent="0.25">
      <c r="A43" t="str">
        <f t="shared" si="2"/>
        <v/>
      </c>
      <c r="B43" s="38"/>
      <c r="C43" s="51"/>
      <c r="D43" s="51"/>
      <c r="E43" s="52" t="str">
        <f>IF(B43="","",VLOOKUP(B43, 'AA Exact Masses'!$A$3:$E$52,5,FALSE))</f>
        <v/>
      </c>
      <c r="F43" s="53"/>
      <c r="G43" s="59" t="str">
        <f t="shared" si="3"/>
        <v/>
      </c>
      <c r="H43" s="51"/>
      <c r="O43">
        <f t="shared" si="0"/>
        <v>0</v>
      </c>
    </row>
    <row r="44" spans="1:15" x14ac:dyDescent="0.25">
      <c r="A44" t="str">
        <f t="shared" si="2"/>
        <v/>
      </c>
      <c r="B44" s="38"/>
      <c r="C44" s="51"/>
      <c r="D44" s="51"/>
      <c r="E44" s="52" t="str">
        <f>IF(B44="","",VLOOKUP(B44, 'AA Exact Masses'!$A$3:$E$52,5,FALSE))</f>
        <v/>
      </c>
      <c r="F44" s="53"/>
      <c r="G44" s="59" t="str">
        <f t="shared" si="3"/>
        <v/>
      </c>
      <c r="H44" s="51"/>
      <c r="O44">
        <f t="shared" si="0"/>
        <v>0</v>
      </c>
    </row>
    <row r="45" spans="1:15" x14ac:dyDescent="0.25">
      <c r="A45" t="str">
        <f t="shared" si="2"/>
        <v/>
      </c>
      <c r="B45" s="38"/>
      <c r="C45" s="51"/>
      <c r="D45" s="51"/>
      <c r="E45" s="52" t="str">
        <f>IF(B45="","",VLOOKUP(B45, 'AA Exact Masses'!$A$3:$E$52,5,FALSE))</f>
        <v/>
      </c>
      <c r="F45" s="53"/>
      <c r="G45" s="59" t="str">
        <f t="shared" si="3"/>
        <v/>
      </c>
      <c r="H45" s="51"/>
      <c r="O45">
        <f t="shared" si="0"/>
        <v>0</v>
      </c>
    </row>
    <row r="46" spans="1:15" x14ac:dyDescent="0.25">
      <c r="A46" t="str">
        <f t="shared" si="2"/>
        <v/>
      </c>
      <c r="B46" s="38"/>
      <c r="C46" s="51"/>
      <c r="D46" s="51"/>
      <c r="E46" s="52" t="str">
        <f>IF(B46="","",VLOOKUP(B46, 'AA Exact Masses'!$A$3:$E$52,5,FALSE))</f>
        <v/>
      </c>
      <c r="F46" s="53"/>
      <c r="G46" s="59" t="str">
        <f t="shared" si="3"/>
        <v/>
      </c>
      <c r="H46" s="51"/>
      <c r="O46">
        <f t="shared" si="0"/>
        <v>0</v>
      </c>
    </row>
    <row r="47" spans="1:15" x14ac:dyDescent="0.25">
      <c r="A47" t="str">
        <f t="shared" si="2"/>
        <v/>
      </c>
      <c r="B47" s="38"/>
      <c r="C47" s="51"/>
      <c r="D47" s="51"/>
      <c r="E47" s="52" t="str">
        <f>IF(B47="","",VLOOKUP(B47, 'AA Exact Masses'!$A$3:$E$52,5,FALSE))</f>
        <v/>
      </c>
      <c r="F47" s="53"/>
      <c r="G47" s="59" t="str">
        <f t="shared" si="3"/>
        <v/>
      </c>
      <c r="H47" s="51"/>
      <c r="O47">
        <f t="shared" si="0"/>
        <v>0</v>
      </c>
    </row>
    <row r="48" spans="1:15" x14ac:dyDescent="0.25">
      <c r="A48" t="str">
        <f t="shared" si="2"/>
        <v/>
      </c>
      <c r="B48" s="38"/>
      <c r="C48" s="51"/>
      <c r="D48" s="51"/>
      <c r="E48" s="52" t="str">
        <f>IF(B48="","",VLOOKUP(B48, 'AA Exact Masses'!$A$3:$E$52,5,FALSE))</f>
        <v/>
      </c>
      <c r="F48" s="53"/>
      <c r="G48" s="59" t="str">
        <f t="shared" si="3"/>
        <v/>
      </c>
      <c r="H48" s="51"/>
      <c r="O48">
        <f t="shared" si="0"/>
        <v>0</v>
      </c>
    </row>
    <row r="49" spans="1:15" x14ac:dyDescent="0.25">
      <c r="A49" t="str">
        <f t="shared" si="2"/>
        <v/>
      </c>
      <c r="B49" s="38"/>
      <c r="C49" s="51"/>
      <c r="D49" s="51"/>
      <c r="E49" s="52" t="str">
        <f>IF(B49="","",VLOOKUP(B49, 'AA Exact Masses'!$A$3:$E$52,5,FALSE))</f>
        <v/>
      </c>
      <c r="F49" s="53"/>
      <c r="G49" s="59" t="str">
        <f t="shared" si="3"/>
        <v/>
      </c>
      <c r="H49" s="51"/>
      <c r="O49">
        <f t="shared" si="0"/>
        <v>0</v>
      </c>
    </row>
    <row r="50" spans="1:15" x14ac:dyDescent="0.25">
      <c r="A50" t="str">
        <f t="shared" si="2"/>
        <v/>
      </c>
      <c r="B50" s="38"/>
      <c r="C50" s="51"/>
      <c r="D50" s="51"/>
      <c r="E50" s="52" t="str">
        <f>IF(B50="","",VLOOKUP(B50, 'AA Exact Masses'!$A$3:$E$52,5,FALSE))</f>
        <v/>
      </c>
      <c r="F50" s="53"/>
      <c r="G50" s="59" t="str">
        <f t="shared" si="3"/>
        <v/>
      </c>
      <c r="H50" s="51"/>
      <c r="O50">
        <f t="shared" si="0"/>
        <v>0</v>
      </c>
    </row>
    <row r="51" spans="1:15" x14ac:dyDescent="0.25">
      <c r="A51" t="str">
        <f t="shared" si="2"/>
        <v/>
      </c>
      <c r="B51" s="38"/>
      <c r="C51" s="51"/>
      <c r="D51" s="51"/>
      <c r="E51" s="52" t="str">
        <f>IF(B51="","",VLOOKUP(B51, 'AA Exact Masses'!$A$3:$E$52,5,FALSE))</f>
        <v/>
      </c>
      <c r="F51" s="53"/>
      <c r="G51" s="59" t="str">
        <f t="shared" si="3"/>
        <v/>
      </c>
      <c r="H51" s="51"/>
      <c r="O51">
        <f t="shared" si="0"/>
        <v>0</v>
      </c>
    </row>
    <row r="52" spans="1:15" x14ac:dyDescent="0.25">
      <c r="A52" t="str">
        <f t="shared" si="2"/>
        <v/>
      </c>
      <c r="B52" s="38"/>
      <c r="C52" s="51"/>
      <c r="D52" s="51"/>
      <c r="E52" s="52" t="str">
        <f>IF(B52="","",VLOOKUP(B52, 'AA Exact Masses'!$A$3:$E$52,5,FALSE))</f>
        <v/>
      </c>
      <c r="F52" s="53"/>
      <c r="G52" s="59" t="str">
        <f t="shared" si="3"/>
        <v/>
      </c>
      <c r="H52" s="51"/>
      <c r="O52">
        <f t="shared" si="0"/>
        <v>0</v>
      </c>
    </row>
    <row r="53" spans="1:15" x14ac:dyDescent="0.25">
      <c r="A53" t="str">
        <f t="shared" si="2"/>
        <v/>
      </c>
      <c r="B53" s="38"/>
      <c r="C53" s="51"/>
      <c r="D53" s="51"/>
      <c r="E53" s="52" t="str">
        <f>IF(B53="","",VLOOKUP(B53, 'AA Exact Masses'!$A$3:$E$52,5,FALSE))</f>
        <v/>
      </c>
      <c r="F53" s="53"/>
      <c r="G53" s="59" t="str">
        <f t="shared" si="3"/>
        <v/>
      </c>
      <c r="H53" s="51"/>
      <c r="O53">
        <f t="shared" si="0"/>
        <v>0</v>
      </c>
    </row>
    <row r="54" spans="1:15" x14ac:dyDescent="0.25">
      <c r="A54" t="str">
        <f t="shared" ref="A54:A57" si="4">IF(B54="","",A53+1)</f>
        <v/>
      </c>
      <c r="B54" s="38"/>
      <c r="C54" s="51"/>
      <c r="D54" s="51"/>
      <c r="E54" s="52" t="str">
        <f>IF(B54="","",VLOOKUP(B54, 'AA Exact Masses'!$A$3:$E$52,5,FALSE))</f>
        <v/>
      </c>
      <c r="F54" s="53"/>
      <c r="G54" s="59" t="str">
        <f t="shared" ref="G54:G57" si="5">IF(E54="","",C$10*E54*F54)</f>
        <v/>
      </c>
      <c r="H54" s="51"/>
      <c r="O54">
        <f t="shared" si="0"/>
        <v>0</v>
      </c>
    </row>
    <row r="55" spans="1:15" x14ac:dyDescent="0.25">
      <c r="A55" t="str">
        <f t="shared" si="4"/>
        <v/>
      </c>
      <c r="B55" s="38"/>
      <c r="C55" s="51"/>
      <c r="D55" s="51"/>
      <c r="E55" s="52" t="str">
        <f>IF(B55="","",VLOOKUP(B55, 'AA Exact Masses'!$A$3:$E$52,5,FALSE))</f>
        <v/>
      </c>
      <c r="F55" s="53"/>
      <c r="G55" s="59" t="str">
        <f t="shared" si="5"/>
        <v/>
      </c>
      <c r="H55" s="51"/>
      <c r="O55">
        <f t="shared" si="0"/>
        <v>0</v>
      </c>
    </row>
    <row r="56" spans="1:15" x14ac:dyDescent="0.25">
      <c r="A56" t="str">
        <f t="shared" si="4"/>
        <v/>
      </c>
      <c r="B56" s="38"/>
      <c r="C56" s="51"/>
      <c r="D56" s="51"/>
      <c r="E56" s="52" t="str">
        <f>IF(B56="","",VLOOKUP(B56, 'AA Exact Masses'!$A$3:$E$52,5,FALSE))</f>
        <v/>
      </c>
      <c r="F56" s="53"/>
      <c r="G56" s="59" t="str">
        <f t="shared" si="5"/>
        <v/>
      </c>
      <c r="H56" s="51"/>
      <c r="O56">
        <f t="shared" si="0"/>
        <v>0</v>
      </c>
    </row>
    <row r="57" spans="1:15" x14ac:dyDescent="0.25">
      <c r="A57" t="str">
        <f t="shared" si="4"/>
        <v/>
      </c>
      <c r="B57" s="38"/>
      <c r="C57" s="51"/>
      <c r="D57" s="51"/>
      <c r="E57" s="52" t="str">
        <f>IF(B57="","",VLOOKUP(B57, 'AA Exact Masses'!$A$3:$E$52,5,FALSE))</f>
        <v/>
      </c>
      <c r="F57" s="53"/>
      <c r="G57" s="59" t="str">
        <f t="shared" si="5"/>
        <v/>
      </c>
      <c r="H57" s="51"/>
      <c r="O57">
        <f t="shared" si="0"/>
        <v>0</v>
      </c>
    </row>
  </sheetData>
  <dataValidations count="1">
    <dataValidation type="list" allowBlank="1" showInputMessage="1" showErrorMessage="1" sqref="F4 B14:B57">
      <formula1>AminoAcid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'AA Exact Masses'!$U$2:$U$6</xm:f>
          </x14:formula1>
          <xm:sqref>J4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G3" activeCellId="1" sqref="E3:E19 G3:N19"/>
    </sheetView>
  </sheetViews>
  <sheetFormatPr defaultRowHeight="15" x14ac:dyDescent="0.25"/>
  <cols>
    <col min="4" max="4" width="12.42578125" customWidth="1"/>
  </cols>
  <sheetData>
    <row r="3" spans="1:14" x14ac:dyDescent="0.25">
      <c r="A3" t="s">
        <v>506</v>
      </c>
      <c r="C3" t="s">
        <v>568</v>
      </c>
      <c r="D3" t="s">
        <v>567</v>
      </c>
      <c r="E3" t="s">
        <v>566</v>
      </c>
      <c r="F3" s="74" t="s">
        <v>43</v>
      </c>
      <c r="G3" s="75" t="s">
        <v>506</v>
      </c>
      <c r="H3" s="75" t="s">
        <v>507</v>
      </c>
      <c r="I3" s="75" t="s">
        <v>508</v>
      </c>
      <c r="J3" s="75" t="s">
        <v>509</v>
      </c>
      <c r="K3" s="75" t="s">
        <v>510</v>
      </c>
      <c r="L3" s="75" t="s">
        <v>511</v>
      </c>
      <c r="M3" s="75" t="s">
        <v>512</v>
      </c>
      <c r="N3" s="74" t="s">
        <v>513</v>
      </c>
    </row>
    <row r="4" spans="1:14" x14ac:dyDescent="0.25">
      <c r="A4" s="81">
        <v>1.8</v>
      </c>
      <c r="B4" s="81">
        <v>0.39</v>
      </c>
      <c r="C4">
        <f>1/E4</f>
        <v>-0.74872716382150351</v>
      </c>
      <c r="D4">
        <f>10^E4</f>
        <v>4.617426594772954E-2</v>
      </c>
      <c r="E4">
        <v>-1.3355999999999999</v>
      </c>
      <c r="F4" s="76" t="s">
        <v>514</v>
      </c>
      <c r="G4" s="81">
        <v>1.8</v>
      </c>
      <c r="H4" s="81">
        <v>0.62</v>
      </c>
      <c r="I4" s="81">
        <v>0.39</v>
      </c>
      <c r="J4" s="81">
        <v>0.39</v>
      </c>
      <c r="K4" s="81">
        <v>1.48</v>
      </c>
      <c r="L4" s="81">
        <v>1.3</v>
      </c>
      <c r="M4" s="81">
        <v>0.82</v>
      </c>
      <c r="N4" s="81">
        <v>0.83</v>
      </c>
    </row>
    <row r="5" spans="1:14" x14ac:dyDescent="0.25">
      <c r="A5" s="82">
        <f>-4.5</f>
        <v>-4.5</v>
      </c>
      <c r="B5" s="82">
        <f>-3.95</f>
        <v>-3.95</v>
      </c>
      <c r="C5">
        <f t="shared" ref="C5:C19" si="0">1/E5</f>
        <v>-0.33204940895205204</v>
      </c>
      <c r="D5">
        <f t="shared" ref="D5:D19" si="1">10^E5</f>
        <v>9.7364356979888554E-4</v>
      </c>
      <c r="E5">
        <v>-3.0116000000000001</v>
      </c>
      <c r="F5" s="78" t="s">
        <v>515</v>
      </c>
      <c r="G5" s="82">
        <f>-4.5</f>
        <v>-4.5</v>
      </c>
      <c r="H5" s="82">
        <f>-2.53</f>
        <v>-2.5299999999999998</v>
      </c>
      <c r="I5" s="82">
        <f>-3.95</f>
        <v>-3.95</v>
      </c>
      <c r="J5" s="82">
        <f>-3.95</f>
        <v>-3.95</v>
      </c>
      <c r="K5" s="82" t="s">
        <v>516</v>
      </c>
      <c r="L5" s="82" t="s">
        <v>517</v>
      </c>
      <c r="M5" s="82" t="s">
        <v>518</v>
      </c>
      <c r="N5" s="82" t="s">
        <v>519</v>
      </c>
    </row>
    <row r="6" spans="1:14" x14ac:dyDescent="0.25">
      <c r="A6" s="82">
        <f>-3.5</f>
        <v>-3.5</v>
      </c>
      <c r="B6" s="82">
        <f>-1.91</f>
        <v>-1.91</v>
      </c>
      <c r="C6">
        <f t="shared" si="0"/>
        <v>-0.44066452209932583</v>
      </c>
      <c r="D6">
        <f t="shared" si="1"/>
        <v>5.3789808731687285E-3</v>
      </c>
      <c r="E6">
        <v>-2.2692999999999999</v>
      </c>
      <c r="F6" s="78" t="s">
        <v>520</v>
      </c>
      <c r="G6" s="82">
        <f>-3.5</f>
        <v>-3.5</v>
      </c>
      <c r="H6" s="82">
        <f>-0.78</f>
        <v>-0.78</v>
      </c>
      <c r="I6" s="82">
        <f>-1.91</f>
        <v>-1.91</v>
      </c>
      <c r="J6" s="82">
        <f>-1.91</f>
        <v>-1.91</v>
      </c>
      <c r="K6" s="82" t="s">
        <v>522</v>
      </c>
      <c r="L6" s="82" t="s">
        <v>523</v>
      </c>
      <c r="M6" s="82" t="s">
        <v>524</v>
      </c>
      <c r="N6" s="82" t="s">
        <v>525</v>
      </c>
    </row>
    <row r="7" spans="1:14" x14ac:dyDescent="0.25">
      <c r="A7" s="83">
        <f>2.5</f>
        <v>2.5</v>
      </c>
      <c r="B7" s="83">
        <v>0.25</v>
      </c>
      <c r="C7">
        <f t="shared" si="0"/>
        <v>-0.79088895919012969</v>
      </c>
      <c r="D7">
        <f t="shared" si="1"/>
        <v>5.4400137824672713E-2</v>
      </c>
      <c r="E7">
        <v>-1.2644</v>
      </c>
      <c r="F7" s="78" t="s">
        <v>529</v>
      </c>
      <c r="G7" s="83">
        <f>2.5</f>
        <v>2.5</v>
      </c>
      <c r="H7" s="83">
        <v>0.28999999999999998</v>
      </c>
      <c r="I7" s="83">
        <v>0.25</v>
      </c>
      <c r="J7" s="82">
        <f>-2.25</f>
        <v>-2.25</v>
      </c>
      <c r="K7" s="83">
        <v>2.09</v>
      </c>
      <c r="L7" s="83">
        <v>0.28000000000000003</v>
      </c>
      <c r="M7" s="83">
        <v>0.62</v>
      </c>
      <c r="N7" s="82" t="s">
        <v>530</v>
      </c>
    </row>
    <row r="8" spans="1:14" x14ac:dyDescent="0.25">
      <c r="A8" s="82">
        <f>-0.4</f>
        <v>-0.4</v>
      </c>
      <c r="B8" s="84">
        <v>0</v>
      </c>
      <c r="C8">
        <f t="shared" si="0"/>
        <v>-0.60805058980907212</v>
      </c>
      <c r="D8">
        <f t="shared" si="1"/>
        <v>2.2667310829305364E-2</v>
      </c>
      <c r="E8">
        <v>-1.6446000000000001</v>
      </c>
      <c r="F8" s="78" t="s">
        <v>537</v>
      </c>
      <c r="G8" s="82">
        <f>-0.4</f>
        <v>-0.4</v>
      </c>
      <c r="H8" s="83">
        <v>0.48</v>
      </c>
      <c r="I8" s="84">
        <v>0</v>
      </c>
      <c r="J8" s="84">
        <v>0</v>
      </c>
      <c r="K8" s="82" t="s">
        <v>538</v>
      </c>
      <c r="L8" s="83">
        <v>0.87</v>
      </c>
      <c r="M8" s="83">
        <v>0.27</v>
      </c>
      <c r="N8" s="83">
        <v>0.28000000000000003</v>
      </c>
    </row>
    <row r="9" spans="1:14" x14ac:dyDescent="0.25">
      <c r="A9" s="82">
        <f>-3.2</f>
        <v>-3.2</v>
      </c>
      <c r="B9" s="82">
        <f>-0.64</f>
        <v>-0.64</v>
      </c>
      <c r="C9">
        <f t="shared" si="0"/>
        <v>-0.43129474682998359</v>
      </c>
      <c r="D9">
        <f t="shared" si="1"/>
        <v>4.8017550301397947E-3</v>
      </c>
      <c r="E9">
        <v>-2.3186</v>
      </c>
      <c r="F9" s="78" t="s">
        <v>539</v>
      </c>
      <c r="G9" s="82">
        <f>-3.2</f>
        <v>-3.2</v>
      </c>
      <c r="H9" s="82">
        <f>-0.4</f>
        <v>-0.4</v>
      </c>
      <c r="I9" s="82">
        <f>-0.64</f>
        <v>-0.64</v>
      </c>
      <c r="J9" s="82">
        <f>-0.64</f>
        <v>-0.64</v>
      </c>
      <c r="K9" s="82" t="s">
        <v>530</v>
      </c>
      <c r="L9" s="82" t="s">
        <v>541</v>
      </c>
      <c r="M9" s="82" t="s">
        <v>540</v>
      </c>
      <c r="N9" s="82" t="s">
        <v>542</v>
      </c>
    </row>
    <row r="10" spans="1:14" x14ac:dyDescent="0.25">
      <c r="A10" s="83">
        <f>4.5</f>
        <v>4.5</v>
      </c>
      <c r="B10" s="83">
        <v>1.82</v>
      </c>
      <c r="C10">
        <f t="shared" si="0"/>
        <v>8.2372322899505779</v>
      </c>
      <c r="D10">
        <f t="shared" si="1"/>
        <v>1.3225131530409457</v>
      </c>
      <c r="E10">
        <v>0.12139999999999999</v>
      </c>
      <c r="F10" s="78" t="s">
        <v>543</v>
      </c>
      <c r="G10" s="83">
        <f>4.5</f>
        <v>4.5</v>
      </c>
      <c r="H10" s="83">
        <v>1.38</v>
      </c>
      <c r="I10" s="83">
        <v>1.82</v>
      </c>
      <c r="J10" s="83">
        <v>1.82</v>
      </c>
      <c r="K10" s="83">
        <v>3.83</v>
      </c>
      <c r="L10" s="83">
        <v>3.66</v>
      </c>
      <c r="M10" s="83">
        <v>2.85</v>
      </c>
      <c r="N10" s="83">
        <v>2.83</v>
      </c>
    </row>
    <row r="11" spans="1:14" x14ac:dyDescent="0.25">
      <c r="A11" s="83">
        <f>3.8</f>
        <v>3.8</v>
      </c>
      <c r="B11" s="83">
        <v>1.82</v>
      </c>
      <c r="C11">
        <f t="shared" si="0"/>
        <v>8.2372322899505779</v>
      </c>
      <c r="D11">
        <f t="shared" si="1"/>
        <v>1.3225131530409457</v>
      </c>
      <c r="E11">
        <v>0.12139999999999999</v>
      </c>
      <c r="F11" s="78" t="s">
        <v>544</v>
      </c>
      <c r="G11" s="83">
        <f>3.8</f>
        <v>3.8</v>
      </c>
      <c r="H11" s="83">
        <v>1.06</v>
      </c>
      <c r="I11" s="83">
        <v>1.82</v>
      </c>
      <c r="J11" s="83">
        <v>1.82</v>
      </c>
      <c r="K11" s="83">
        <v>3.22</v>
      </c>
      <c r="L11" s="83">
        <v>2.67</v>
      </c>
      <c r="M11" s="83">
        <v>2.85</v>
      </c>
      <c r="N11" s="83">
        <v>2.83</v>
      </c>
    </row>
    <row r="12" spans="1:14" x14ac:dyDescent="0.25">
      <c r="A12" s="83">
        <f>1.9</f>
        <v>1.9</v>
      </c>
      <c r="B12" s="83">
        <v>0.96</v>
      </c>
      <c r="C12">
        <f t="shared" si="0"/>
        <v>-0.84203435500168411</v>
      </c>
      <c r="D12">
        <f t="shared" si="1"/>
        <v>6.4923212314321299E-2</v>
      </c>
      <c r="E12">
        <v>-1.1876</v>
      </c>
      <c r="F12" s="78" t="s">
        <v>549</v>
      </c>
      <c r="G12" s="83">
        <f>1.9</f>
        <v>1.9</v>
      </c>
      <c r="H12" s="83">
        <v>0.64</v>
      </c>
      <c r="I12" s="83">
        <v>0.96</v>
      </c>
      <c r="J12" s="83">
        <v>0.96</v>
      </c>
      <c r="K12" s="83">
        <v>1.57</v>
      </c>
      <c r="L12" s="83">
        <v>1.36</v>
      </c>
      <c r="M12" s="83">
        <v>1.63</v>
      </c>
      <c r="N12" s="83">
        <v>1.62</v>
      </c>
    </row>
    <row r="13" spans="1:14" x14ac:dyDescent="0.25">
      <c r="A13" s="83">
        <f>2.8</f>
        <v>2.8</v>
      </c>
      <c r="B13" s="83">
        <v>2.27</v>
      </c>
      <c r="C13">
        <f t="shared" si="0"/>
        <v>12.135922330097086</v>
      </c>
      <c r="D13">
        <f t="shared" si="1"/>
        <v>1.2089267852133001</v>
      </c>
      <c r="E13">
        <v>8.2400000000000001E-2</v>
      </c>
      <c r="F13" s="78" t="s">
        <v>550</v>
      </c>
      <c r="G13" s="83">
        <f>2.8</f>
        <v>2.8</v>
      </c>
      <c r="H13" s="83">
        <v>1.19</v>
      </c>
      <c r="I13" s="83">
        <v>2.27</v>
      </c>
      <c r="J13" s="83">
        <v>2.27</v>
      </c>
      <c r="K13" s="83">
        <v>2.35</v>
      </c>
      <c r="L13" s="83">
        <v>3.07</v>
      </c>
      <c r="M13" s="83">
        <v>3.5</v>
      </c>
      <c r="N13" s="83">
        <v>3.46</v>
      </c>
    </row>
    <row r="14" spans="1:14" x14ac:dyDescent="0.25">
      <c r="A14" s="82">
        <f>-1.6</f>
        <v>-1.6</v>
      </c>
      <c r="B14" s="83">
        <v>0.99</v>
      </c>
      <c r="C14">
        <f t="shared" si="0"/>
        <v>-1.0418837257762035</v>
      </c>
      <c r="D14">
        <f t="shared" si="1"/>
        <v>0.10969832592991949</v>
      </c>
      <c r="E14">
        <v>-0.95979999999999999</v>
      </c>
      <c r="F14" s="78" t="s">
        <v>551</v>
      </c>
      <c r="G14" s="82">
        <f>-1.6</f>
        <v>-1.6</v>
      </c>
      <c r="H14" s="83">
        <v>0.12</v>
      </c>
      <c r="I14" s="83">
        <v>0.99</v>
      </c>
      <c r="J14" s="83">
        <v>0.99</v>
      </c>
      <c r="K14" s="82" t="s">
        <v>552</v>
      </c>
      <c r="L14" s="82" t="s">
        <v>553</v>
      </c>
      <c r="M14" s="83">
        <v>1.68</v>
      </c>
      <c r="N14" s="83">
        <v>1.67</v>
      </c>
    </row>
    <row r="15" spans="1:14" x14ac:dyDescent="0.25">
      <c r="A15" s="82">
        <f>-0.8</f>
        <v>-0.8</v>
      </c>
      <c r="B15" s="82">
        <f>-1.24</f>
        <v>-1.24</v>
      </c>
      <c r="C15">
        <f t="shared" si="0"/>
        <v>-0.45628764373060771</v>
      </c>
      <c r="D15">
        <f t="shared" si="1"/>
        <v>6.4327992726085021E-3</v>
      </c>
      <c r="E15">
        <v>-2.1916000000000002</v>
      </c>
      <c r="F15" s="78" t="s">
        <v>554</v>
      </c>
      <c r="G15" s="82">
        <f>-0.8</f>
        <v>-0.8</v>
      </c>
      <c r="H15" s="82">
        <f>-0.18</f>
        <v>-0.18</v>
      </c>
      <c r="I15" s="82">
        <f>-1.24</f>
        <v>-1.24</v>
      </c>
      <c r="J15" s="82">
        <f>-1.24</f>
        <v>-1.24</v>
      </c>
      <c r="K15" s="82" t="s">
        <v>521</v>
      </c>
      <c r="L15" s="82" t="s">
        <v>555</v>
      </c>
      <c r="M15" s="82" t="s">
        <v>556</v>
      </c>
      <c r="N15" s="82" t="s">
        <v>557</v>
      </c>
    </row>
    <row r="16" spans="1:14" x14ac:dyDescent="0.25">
      <c r="A16" s="82">
        <f>-0.7</f>
        <v>-0.7</v>
      </c>
      <c r="B16" s="82">
        <f>-1</f>
        <v>-1</v>
      </c>
      <c r="C16">
        <f t="shared" si="0"/>
        <v>-0.53118028258791028</v>
      </c>
      <c r="D16">
        <f t="shared" si="1"/>
        <v>1.3103882795738257E-2</v>
      </c>
      <c r="E16">
        <v>-1.8826000000000001</v>
      </c>
      <c r="F16" s="78" t="s">
        <v>558</v>
      </c>
      <c r="G16" s="82">
        <f>-0.7</f>
        <v>-0.7</v>
      </c>
      <c r="H16" s="82">
        <f>-0.05</f>
        <v>-0.05</v>
      </c>
      <c r="I16" s="82">
        <f>-1</f>
        <v>-1</v>
      </c>
      <c r="J16" s="82">
        <f>-1</f>
        <v>-1</v>
      </c>
      <c r="K16" s="82" t="s">
        <v>559</v>
      </c>
      <c r="L16" s="82" t="s">
        <v>521</v>
      </c>
      <c r="M16" s="82" t="s">
        <v>560</v>
      </c>
      <c r="N16" s="82" t="s">
        <v>561</v>
      </c>
    </row>
    <row r="17" spans="1:14" x14ac:dyDescent="0.25">
      <c r="A17" s="82">
        <f>-0.9</f>
        <v>-0.9</v>
      </c>
      <c r="B17" s="83">
        <v>2.13</v>
      </c>
      <c r="C17">
        <f t="shared" si="0"/>
        <v>-0.74482347683598982</v>
      </c>
      <c r="D17">
        <f t="shared" si="1"/>
        <v>4.5435990492934009E-2</v>
      </c>
      <c r="E17">
        <v>-1.3426</v>
      </c>
      <c r="F17" s="78" t="s">
        <v>562</v>
      </c>
      <c r="G17" s="82">
        <f>-0.9</f>
        <v>-0.9</v>
      </c>
      <c r="H17" s="83">
        <v>0.81</v>
      </c>
      <c r="I17" s="83">
        <v>2.13</v>
      </c>
      <c r="J17" s="83">
        <v>2.13</v>
      </c>
      <c r="K17" s="82" t="s">
        <v>563</v>
      </c>
      <c r="L17" s="83">
        <v>1.89</v>
      </c>
      <c r="M17" s="83">
        <v>3.29</v>
      </c>
      <c r="N17" s="83">
        <v>3.26</v>
      </c>
    </row>
    <row r="18" spans="1:14" x14ac:dyDescent="0.25">
      <c r="A18" s="82">
        <f>-1.3</f>
        <v>-1.3</v>
      </c>
      <c r="B18" s="83">
        <v>1.47</v>
      </c>
      <c r="C18">
        <f t="shared" si="0"/>
        <v>-1.7105713308244954</v>
      </c>
      <c r="D18">
        <f t="shared" si="1"/>
        <v>0.2602555501826247</v>
      </c>
      <c r="E18">
        <v>-0.58460000000000001</v>
      </c>
      <c r="F18" s="78" t="s">
        <v>564</v>
      </c>
      <c r="G18" s="82">
        <f>-1.3</f>
        <v>-1.3</v>
      </c>
      <c r="H18" s="83">
        <v>0.26</v>
      </c>
      <c r="I18" s="83">
        <v>1.47</v>
      </c>
      <c r="J18" s="83">
        <v>1.47</v>
      </c>
      <c r="K18" s="82" t="s">
        <v>563</v>
      </c>
      <c r="L18" s="83">
        <v>0.19</v>
      </c>
      <c r="M18" s="83">
        <v>2.36</v>
      </c>
      <c r="N18" s="83">
        <v>2.34</v>
      </c>
    </row>
    <row r="19" spans="1:14" x14ac:dyDescent="0.25">
      <c r="A19" s="85">
        <f>4.2</f>
        <v>4.2</v>
      </c>
      <c r="B19" s="85">
        <v>1.3</v>
      </c>
      <c r="C19">
        <f t="shared" si="0"/>
        <v>-2.4533856722276739</v>
      </c>
      <c r="D19">
        <f t="shared" si="1"/>
        <v>0.39120103938735096</v>
      </c>
      <c r="E19">
        <v>-0.40760000000000002</v>
      </c>
      <c r="F19" s="74" t="s">
        <v>565</v>
      </c>
      <c r="G19" s="85">
        <f>4.2</f>
        <v>4.2</v>
      </c>
      <c r="H19" s="85">
        <v>1.08</v>
      </c>
      <c r="I19" s="85">
        <v>1.3</v>
      </c>
      <c r="J19" s="85">
        <v>1.3</v>
      </c>
      <c r="K19" s="85">
        <v>3.57</v>
      </c>
      <c r="L19" s="85">
        <v>2.73</v>
      </c>
      <c r="M19" s="85">
        <v>2.12</v>
      </c>
      <c r="N19" s="85">
        <v>2.1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AT83"/>
  <sheetViews>
    <sheetView topLeftCell="K31" workbookViewId="0">
      <selection activeCell="S39" sqref="S39"/>
    </sheetView>
  </sheetViews>
  <sheetFormatPr defaultRowHeight="15" x14ac:dyDescent="0.25"/>
  <cols>
    <col min="8" max="8" width="10.5703125" customWidth="1"/>
    <col min="9" max="9" width="14.28515625" customWidth="1"/>
    <col min="10" max="10" width="10.5703125" customWidth="1"/>
    <col min="11" max="11" width="9.140625" customWidth="1"/>
    <col min="12" max="12" width="10.5703125" customWidth="1"/>
    <col min="13" max="13" width="9.140625" customWidth="1"/>
    <col min="14" max="14" width="15.85546875" customWidth="1"/>
    <col min="15" max="16" width="9.140625" customWidth="1"/>
    <col min="17" max="17" width="13.28515625" customWidth="1"/>
    <col min="18" max="18" width="9.140625" customWidth="1"/>
    <col min="19" max="19" width="10.5703125" customWidth="1"/>
    <col min="20" max="20" width="9.140625" customWidth="1"/>
    <col min="21" max="21" width="15.85546875" customWidth="1"/>
    <col min="22" max="22" width="14" customWidth="1"/>
    <col min="23" max="23" width="10.5703125" customWidth="1"/>
    <col min="24" max="24" width="9.140625" customWidth="1"/>
    <col min="26" max="26" width="10.5703125" bestFit="1" customWidth="1"/>
    <col min="29" max="29" width="10.5703125" bestFit="1" customWidth="1"/>
    <col min="32" max="32" width="10.5703125" bestFit="1" customWidth="1"/>
    <col min="35" max="35" width="10.5703125" bestFit="1" customWidth="1"/>
    <col min="39" max="39" width="12.28515625" customWidth="1"/>
    <col min="40" max="40" width="13.7109375" customWidth="1"/>
    <col min="41" max="41" width="10.5703125" bestFit="1" customWidth="1"/>
    <col min="43" max="43" width="10.5703125" bestFit="1" customWidth="1"/>
    <col min="45" max="45" width="10.5703125" bestFit="1" customWidth="1"/>
  </cols>
  <sheetData>
    <row r="1" spans="4:46" x14ac:dyDescent="0.25">
      <c r="I1" t="s">
        <v>28</v>
      </c>
      <c r="Q1" t="s">
        <v>84</v>
      </c>
      <c r="AC1" t="s">
        <v>107</v>
      </c>
      <c r="AD1" s="37" t="str">
        <f>IF('Mass Ion Calculations'!$D$6="Yes","Cyclic","Linear")</f>
        <v>Cyclic</v>
      </c>
      <c r="AE1" s="37" t="str">
        <f>IF('Mass Ion Calculations'!$D$7="Yes","Protected","Deprotected")</f>
        <v>Deprotected</v>
      </c>
      <c r="AM1" t="s">
        <v>84</v>
      </c>
    </row>
    <row r="2" spans="4:46" x14ac:dyDescent="0.25">
      <c r="H2" t="s">
        <v>82</v>
      </c>
      <c r="J2" t="s">
        <v>85</v>
      </c>
      <c r="L2" t="s">
        <v>86</v>
      </c>
      <c r="N2" t="s">
        <v>87</v>
      </c>
      <c r="Q2" t="s">
        <v>83</v>
      </c>
      <c r="S2" t="s">
        <v>85</v>
      </c>
      <c r="U2" t="s">
        <v>86</v>
      </c>
      <c r="W2" t="s">
        <v>88</v>
      </c>
      <c r="AC2" t="s">
        <v>85</v>
      </c>
      <c r="AF2" t="s">
        <v>86</v>
      </c>
      <c r="AI2" t="s">
        <v>87</v>
      </c>
      <c r="AM2" t="s">
        <v>83</v>
      </c>
      <c r="AO2" t="s">
        <v>85</v>
      </c>
      <c r="AQ2" t="s">
        <v>86</v>
      </c>
      <c r="AS2" t="s">
        <v>88</v>
      </c>
    </row>
    <row r="3" spans="4:46" x14ac:dyDescent="0.25">
      <c r="H3" s="16">
        <f>$D$6+'AA Exact Masses'!$Q$2</f>
        <v>2301.22624</v>
      </c>
      <c r="I3" s="10" t="s">
        <v>332</v>
      </c>
      <c r="J3" s="16">
        <f>$D$6*2+'AA Exact Masses'!$Q$2</f>
        <v>4601.4446600000001</v>
      </c>
      <c r="K3" s="10" t="s">
        <v>419</v>
      </c>
      <c r="L3" s="16">
        <f>$D$6*3+'AA Exact Masses'!$Q$2</f>
        <v>6901.6630800000003</v>
      </c>
      <c r="M3" s="10" t="s">
        <v>442</v>
      </c>
      <c r="N3" s="16">
        <f>$D$6*4+'AA Exact Masses'!$Q$2</f>
        <v>9201.8815000000013</v>
      </c>
      <c r="O3" s="10" t="s">
        <v>465</v>
      </c>
      <c r="Q3" s="17">
        <f>$F$6+'AA Exact Masses'!$Q2</f>
        <v>1888.94373</v>
      </c>
      <c r="R3" s="10" t="s">
        <v>332</v>
      </c>
      <c r="S3" s="17">
        <f>$F$6*2+'AA Exact Masses'!$Q$2</f>
        <v>3776.8796399999997</v>
      </c>
      <c r="T3" s="10" t="s">
        <v>419</v>
      </c>
      <c r="U3" s="17">
        <f>$F$6*3+'AA Exact Masses'!$Q$2</f>
        <v>5664.8155499999993</v>
      </c>
      <c r="V3" s="10" t="s">
        <v>442</v>
      </c>
      <c r="W3" s="17">
        <f>$F$6*4+'AA Exact Masses'!$Q$2</f>
        <v>7552.7514599999995</v>
      </c>
      <c r="X3" s="10" t="s">
        <v>465</v>
      </c>
      <c r="Z3" s="25">
        <f>IF('Mass Ion Calculations'!$D$6="No",IF('Mass Ion Calculations'!$D$7="Yes", TRUNC(Aggregate!H3,0),TRUNC(Aggregate!Q3,0)),IF('Mass Ion Calculations'!$D$7="Yes",TRUNC(Aggregate!H30,0),TRUNC(Aggregate!Q30,0)))</f>
        <v>1870</v>
      </c>
      <c r="AA3" s="10" t="s">
        <v>332</v>
      </c>
      <c r="AB3" s="10" t="s">
        <v>94</v>
      </c>
      <c r="AC3" s="25">
        <f>IF('Mass Ion Calculations'!$D$6="No",IF('Mass Ion Calculations'!$D$7="Yes", TRUNC(Aggregate!J3,0),TRUNC(Aggregate!S3,0)),IF('Mass Ion Calculations'!$D$7="Yes",TRUNC(Aggregate!J30,0),TRUNC(Aggregate!S30,0)))</f>
        <v>3740</v>
      </c>
      <c r="AD3" s="10" t="s">
        <v>419</v>
      </c>
      <c r="AE3" s="10" t="s">
        <v>91</v>
      </c>
      <c r="AF3" s="25">
        <f>IF('Mass Ion Calculations'!$D$6="No",IF('Mass Ion Calculations'!$D$7="Yes", TRUNC(Aggregate!L3,0),TRUNC(Aggregate!U3,0)),IF('Mass Ion Calculations'!$D$7="Yes",TRUNC(Aggregate!L30,0),TRUNC(Aggregate!U30,0)))</f>
        <v>5610</v>
      </c>
      <c r="AG3" s="10" t="s">
        <v>442</v>
      </c>
      <c r="AH3" s="10" t="s">
        <v>92</v>
      </c>
      <c r="AI3" s="25">
        <f>IF('Mass Ion Calculations'!$D$6="No",IF('Mass Ion Calculations'!$D$7="Yes", TRUNC(Aggregate!N3,0),TRUNC(Aggregate!W3,0)),IF('Mass Ion Calculations'!$D$7="Yes",TRUNC(Aggregate!N30,0),TRUNC(Aggregate!W30,0)))</f>
        <v>7480</v>
      </c>
      <c r="AJ3" s="10" t="s">
        <v>465</v>
      </c>
      <c r="AK3" s="10" t="s">
        <v>93</v>
      </c>
      <c r="AM3" s="17">
        <f>TRUNC(Q3,0)</f>
        <v>1888</v>
      </c>
      <c r="AN3" s="10" t="s">
        <v>332</v>
      </c>
      <c r="AO3" s="17">
        <f>TRUNC(S3,0)</f>
        <v>3776</v>
      </c>
      <c r="AP3" s="10" t="s">
        <v>419</v>
      </c>
      <c r="AQ3" s="17">
        <f>TRUNC(U3,0)</f>
        <v>5664</v>
      </c>
      <c r="AR3" s="10" t="s">
        <v>442</v>
      </c>
      <c r="AS3" s="17">
        <f>TRUNC(W3,0)</f>
        <v>7552</v>
      </c>
      <c r="AT3" s="10" t="s">
        <v>465</v>
      </c>
    </row>
    <row r="4" spans="4:46" x14ac:dyDescent="0.25">
      <c r="H4" s="16">
        <f>$D$6+'AA Exact Masses'!$Q$3</f>
        <v>2323.20822</v>
      </c>
      <c r="I4" s="10" t="s">
        <v>333</v>
      </c>
      <c r="J4" s="16">
        <f>$D$6*2+'AA Exact Masses'!$Q$3</f>
        <v>4623.4266400000006</v>
      </c>
      <c r="K4" s="10" t="s">
        <v>420</v>
      </c>
      <c r="L4" s="16">
        <f>$D$6*3+'AA Exact Masses'!$Q$3</f>
        <v>6923.6450600000007</v>
      </c>
      <c r="M4" s="10" t="s">
        <v>443</v>
      </c>
      <c r="N4" s="16">
        <f>$D$6*4+'AA Exact Masses'!$Q$3</f>
        <v>9223.86348</v>
      </c>
      <c r="O4" s="10" t="s">
        <v>466</v>
      </c>
      <c r="Q4" s="17">
        <f>$F$6+'AA Exact Masses'!$Q$3</f>
        <v>1910.92571</v>
      </c>
      <c r="R4" s="10" t="s">
        <v>333</v>
      </c>
      <c r="S4" s="17">
        <f>$F$6*2+'AA Exact Masses'!$Q$3</f>
        <v>3798.8616199999997</v>
      </c>
      <c r="T4" s="10" t="s">
        <v>420</v>
      </c>
      <c r="U4" s="17">
        <f>$F$6*3+'AA Exact Masses'!$Q$3</f>
        <v>5686.7975299999998</v>
      </c>
      <c r="V4" s="10" t="s">
        <v>443</v>
      </c>
      <c r="W4" s="17">
        <f>$F$6*4+'AA Exact Masses'!$Q$3</f>
        <v>7574.73344</v>
      </c>
      <c r="X4" s="10" t="s">
        <v>466</v>
      </c>
      <c r="Z4" s="25">
        <f>IF('Mass Ion Calculations'!$D$6="No",IF('Mass Ion Calculations'!$D$7="Yes", TRUNC(Aggregate!H4,0),TRUNC(Aggregate!Q4,0)),IF('Mass Ion Calculations'!$D$7="Yes",TRUNC(Aggregate!H31,0),TRUNC(Aggregate!Q31,0)))</f>
        <v>1892</v>
      </c>
      <c r="AA4" s="10" t="s">
        <v>333</v>
      </c>
      <c r="AB4" s="10" t="s">
        <v>94</v>
      </c>
      <c r="AC4" s="25">
        <f>IF('Mass Ion Calculations'!$D$6="No",IF('Mass Ion Calculations'!$D$7="Yes", TRUNC(Aggregate!J4,0),TRUNC(Aggregate!S4,0)),IF('Mass Ion Calculations'!$D$7="Yes",TRUNC(Aggregate!J31,0),TRUNC(Aggregate!S31,0)))</f>
        <v>3762</v>
      </c>
      <c r="AD4" s="10" t="s">
        <v>420</v>
      </c>
      <c r="AE4" s="10" t="s">
        <v>91</v>
      </c>
      <c r="AF4" s="25">
        <f>IF('Mass Ion Calculations'!$D$6="No",IF('Mass Ion Calculations'!$D$7="Yes", TRUNC(Aggregate!L4,0),TRUNC(Aggregate!U4,0)),IF('Mass Ion Calculations'!$D$7="Yes",TRUNC(Aggregate!L31,0),TRUNC(Aggregate!U31,0)))</f>
        <v>5632</v>
      </c>
      <c r="AG4" s="10" t="s">
        <v>443</v>
      </c>
      <c r="AH4" s="10" t="s">
        <v>92</v>
      </c>
      <c r="AI4" s="25">
        <f>IF('Mass Ion Calculations'!$D$6="No",IF('Mass Ion Calculations'!$D$7="Yes", TRUNC(Aggregate!N4,0),TRUNC(Aggregate!W4,0)),IF('Mass Ion Calculations'!$D$7="Yes",TRUNC(Aggregate!N31,0),TRUNC(Aggregate!W31,0)))</f>
        <v>7502</v>
      </c>
      <c r="AJ4" s="10" t="s">
        <v>466</v>
      </c>
      <c r="AK4" s="10" t="s">
        <v>93</v>
      </c>
      <c r="AM4" s="17">
        <f t="shared" ref="AM4:AM25" si="0">TRUNC(Q4,0)</f>
        <v>1910</v>
      </c>
      <c r="AN4" s="10" t="s">
        <v>333</v>
      </c>
      <c r="AO4" s="17">
        <f t="shared" ref="AO4:AO25" si="1">TRUNC(S4,0)</f>
        <v>3798</v>
      </c>
      <c r="AP4" s="10" t="s">
        <v>420</v>
      </c>
      <c r="AQ4" s="17">
        <f t="shared" ref="AQ4:AQ25" si="2">TRUNC(U4,0)</f>
        <v>5686</v>
      </c>
      <c r="AR4" s="10" t="s">
        <v>443</v>
      </c>
      <c r="AS4" s="17">
        <f t="shared" ref="AS4:AS25" si="3">TRUNC(W4,0)</f>
        <v>7574</v>
      </c>
      <c r="AT4" s="10" t="s">
        <v>466</v>
      </c>
    </row>
    <row r="5" spans="4:46" x14ac:dyDescent="0.25">
      <c r="H5" s="16">
        <f>$D$6+'AA Exact Masses'!$Q$4</f>
        <v>2339.1821300000001</v>
      </c>
      <c r="I5" s="10" t="s">
        <v>334</v>
      </c>
      <c r="J5" s="16">
        <f>$D$6*2+'AA Exact Masses'!$Q$4</f>
        <v>4639.4005500000003</v>
      </c>
      <c r="K5" s="10" t="s">
        <v>421</v>
      </c>
      <c r="L5" s="16">
        <f>$D$6*3+'AA Exact Masses'!$Q$4</f>
        <v>6939.6189700000004</v>
      </c>
      <c r="M5" s="10" t="s">
        <v>444</v>
      </c>
      <c r="N5" s="16">
        <f>$D$6*4+'AA Exact Masses'!$Q$4</f>
        <v>9239.8373900000006</v>
      </c>
      <c r="O5" s="10" t="s">
        <v>467</v>
      </c>
      <c r="Q5" s="17">
        <f>$F$6+'AA Exact Masses'!$Q$4</f>
        <v>1926.8996199999999</v>
      </c>
      <c r="R5" s="10" t="s">
        <v>334</v>
      </c>
      <c r="S5" s="17">
        <f>$F$6*2+'AA Exact Masses'!$Q$4</f>
        <v>3814.8355299999998</v>
      </c>
      <c r="T5" s="10" t="s">
        <v>421</v>
      </c>
      <c r="U5" s="17">
        <f>$F$6*3+'AA Exact Masses'!$Q$4</f>
        <v>5702.7714399999995</v>
      </c>
      <c r="V5" s="10" t="s">
        <v>444</v>
      </c>
      <c r="W5" s="17">
        <f>$F$6*4+'AA Exact Masses'!$Q$4</f>
        <v>7590.7073499999997</v>
      </c>
      <c r="X5" s="10" t="s">
        <v>467</v>
      </c>
      <c r="Z5" s="25">
        <f>IF('Mass Ion Calculations'!$D$6="No",IF('Mass Ion Calculations'!$D$7="Yes", TRUNC(Aggregate!H5,0),TRUNC(Aggregate!Q5,0)),IF('Mass Ion Calculations'!$D$7="Yes",TRUNC(Aggregate!H32,0),TRUNC(Aggregate!Q32,0)))</f>
        <v>1908</v>
      </c>
      <c r="AA5" s="10" t="s">
        <v>334</v>
      </c>
      <c r="AB5" s="10" t="s">
        <v>94</v>
      </c>
      <c r="AC5" s="25">
        <f>IF('Mass Ion Calculations'!$D$6="No",IF('Mass Ion Calculations'!$D$7="Yes", TRUNC(Aggregate!J5,0),TRUNC(Aggregate!S5,0)),IF('Mass Ion Calculations'!$D$7="Yes",TRUNC(Aggregate!J32,0),TRUNC(Aggregate!S32,0)))</f>
        <v>3778</v>
      </c>
      <c r="AD5" s="10" t="s">
        <v>421</v>
      </c>
      <c r="AE5" s="10" t="s">
        <v>91</v>
      </c>
      <c r="AF5" s="25">
        <f>IF('Mass Ion Calculations'!$D$6="No",IF('Mass Ion Calculations'!$D$7="Yes", TRUNC(Aggregate!L5,0),TRUNC(Aggregate!U5,0)),IF('Mass Ion Calculations'!$D$7="Yes",TRUNC(Aggregate!L32,0),TRUNC(Aggregate!U32,0)))</f>
        <v>5648</v>
      </c>
      <c r="AG5" s="10" t="s">
        <v>444</v>
      </c>
      <c r="AH5" s="10" t="s">
        <v>92</v>
      </c>
      <c r="AI5" s="25">
        <f>IF('Mass Ion Calculations'!$D$6="No",IF('Mass Ion Calculations'!$D$7="Yes", TRUNC(Aggregate!N5,0),TRUNC(Aggregate!W5,0)),IF('Mass Ion Calculations'!$D$7="Yes",TRUNC(Aggregate!N32,0),TRUNC(Aggregate!W32,0)))</f>
        <v>7518</v>
      </c>
      <c r="AJ5" s="10" t="s">
        <v>467</v>
      </c>
      <c r="AK5" s="10" t="s">
        <v>93</v>
      </c>
      <c r="AM5" s="17">
        <f t="shared" si="0"/>
        <v>1926</v>
      </c>
      <c r="AN5" s="10" t="s">
        <v>334</v>
      </c>
      <c r="AO5" s="17">
        <f t="shared" si="1"/>
        <v>3814</v>
      </c>
      <c r="AP5" s="10" t="s">
        <v>421</v>
      </c>
      <c r="AQ5" s="17">
        <f t="shared" si="2"/>
        <v>5702</v>
      </c>
      <c r="AR5" s="10" t="s">
        <v>444</v>
      </c>
      <c r="AS5" s="17">
        <f t="shared" si="3"/>
        <v>7590</v>
      </c>
      <c r="AT5" s="10" t="s">
        <v>467</v>
      </c>
    </row>
    <row r="6" spans="4:46" x14ac:dyDescent="0.25">
      <c r="D6">
        <f>'Mass Ion Calculations'!D15</f>
        <v>2300.2184200000002</v>
      </c>
      <c r="F6">
        <f>'Mass Ion Calculations'!F15</f>
        <v>1887.9359099999999</v>
      </c>
      <c r="H6" s="16">
        <f>($D$6+'AA Exact Masses'!$Q$2*2)/2</f>
        <v>1151.1170300000001</v>
      </c>
      <c r="I6" s="10" t="s">
        <v>330</v>
      </c>
      <c r="J6" s="16">
        <f>($D$6*2+'AA Exact Masses'!$Q$2*2)/2</f>
        <v>2301.22624</v>
      </c>
      <c r="K6" s="10" t="s">
        <v>422</v>
      </c>
      <c r="L6" s="16">
        <f>($D$6*3+'AA Exact Masses'!$Q$2*2)/2</f>
        <v>3451.33545</v>
      </c>
      <c r="M6" s="10" t="s">
        <v>445</v>
      </c>
      <c r="N6" s="16">
        <f>($D$6*4+'AA Exact Masses'!$Q$2*2)/2</f>
        <v>4601.4446600000001</v>
      </c>
      <c r="O6" s="10" t="s">
        <v>468</v>
      </c>
      <c r="Q6" s="17">
        <f>($F$6+'AA Exact Masses'!$Q$2*2)/2</f>
        <v>944.975775</v>
      </c>
      <c r="R6" s="10" t="s">
        <v>330</v>
      </c>
      <c r="S6" s="17">
        <f>($F$6*2+'AA Exact Masses'!$Q$2*2)/2</f>
        <v>1888.94373</v>
      </c>
      <c r="T6" s="10" t="s">
        <v>422</v>
      </c>
      <c r="U6" s="17">
        <f>($F$6*3+'AA Exact Masses'!$Q$2*2)/2</f>
        <v>2832.9116849999996</v>
      </c>
      <c r="V6" s="10" t="s">
        <v>445</v>
      </c>
      <c r="W6" s="17">
        <f>($F$6*4+'AA Exact Masses'!$Q$2*2)/2</f>
        <v>3776.8796399999997</v>
      </c>
      <c r="X6" s="10" t="s">
        <v>468</v>
      </c>
      <c r="Z6" s="25">
        <f>IF('Mass Ion Calculations'!$D$6="No",IF('Mass Ion Calculations'!$D$7="Yes", TRUNC(Aggregate!H6,0),TRUNC(Aggregate!Q6,0)),IF('Mass Ion Calculations'!$D$7="Yes",TRUNC(Aggregate!H33,0),TRUNC(Aggregate!Q33,0)))</f>
        <v>935</v>
      </c>
      <c r="AA6" s="10" t="s">
        <v>330</v>
      </c>
      <c r="AB6" s="10" t="s">
        <v>94</v>
      </c>
      <c r="AC6" s="25">
        <f>IF('Mass Ion Calculations'!$D$6="No",IF('Mass Ion Calculations'!$D$7="Yes", TRUNC(Aggregate!J6,0),TRUNC(Aggregate!S6,0)),IF('Mass Ion Calculations'!$D$7="Yes",TRUNC(Aggregate!J33,0),TRUNC(Aggregate!S33,0)))</f>
        <v>1870</v>
      </c>
      <c r="AD6" s="10" t="s">
        <v>422</v>
      </c>
      <c r="AE6" s="10" t="s">
        <v>91</v>
      </c>
      <c r="AF6" s="25">
        <f>IF('Mass Ion Calculations'!$D$6="No",IF('Mass Ion Calculations'!$D$7="Yes", TRUNC(Aggregate!L6,0),TRUNC(Aggregate!U6,0)),IF('Mass Ion Calculations'!$D$7="Yes",TRUNC(Aggregate!L33,0),TRUNC(Aggregate!U33,0)))</f>
        <v>2805</v>
      </c>
      <c r="AG6" s="10" t="s">
        <v>445</v>
      </c>
      <c r="AH6" s="10" t="s">
        <v>92</v>
      </c>
      <c r="AI6" s="25">
        <f>IF('Mass Ion Calculations'!$D$6="No",IF('Mass Ion Calculations'!$D$7="Yes", TRUNC(Aggregate!N6,0),TRUNC(Aggregate!W6,0)),IF('Mass Ion Calculations'!$D$7="Yes",TRUNC(Aggregate!N33,0),TRUNC(Aggregate!W33,0)))</f>
        <v>3740</v>
      </c>
      <c r="AJ6" s="10" t="s">
        <v>468</v>
      </c>
      <c r="AK6" s="10" t="s">
        <v>93</v>
      </c>
      <c r="AM6" s="17">
        <f t="shared" si="0"/>
        <v>944</v>
      </c>
      <c r="AN6" s="10" t="s">
        <v>330</v>
      </c>
      <c r="AO6" s="17">
        <f t="shared" si="1"/>
        <v>1888</v>
      </c>
      <c r="AP6" s="10" t="s">
        <v>422</v>
      </c>
      <c r="AQ6" s="17">
        <f t="shared" si="2"/>
        <v>2832</v>
      </c>
      <c r="AR6" s="10" t="s">
        <v>445</v>
      </c>
      <c r="AS6" s="17">
        <f t="shared" si="3"/>
        <v>3776</v>
      </c>
      <c r="AT6" s="10" t="s">
        <v>468</v>
      </c>
    </row>
    <row r="7" spans="4:46" x14ac:dyDescent="0.25">
      <c r="H7" s="16">
        <f>($D$6+2*'AA Exact Masses'!$Q$3)/2</f>
        <v>1173.0990100000001</v>
      </c>
      <c r="I7" s="10" t="s">
        <v>331</v>
      </c>
      <c r="J7" s="16">
        <f>($D$6*2+2*'AA Exact Masses'!$Q$3)/2</f>
        <v>2323.20822</v>
      </c>
      <c r="K7" s="10" t="s">
        <v>423</v>
      </c>
      <c r="L7" s="16">
        <f>($D$6*3+2*'AA Exact Masses'!$Q$3)/2</f>
        <v>3473.3174300000001</v>
      </c>
      <c r="M7" s="10" t="s">
        <v>446</v>
      </c>
      <c r="N7" s="16">
        <f>($D$6*4+2*'AA Exact Masses'!$Q$3)/2</f>
        <v>4623.4266400000006</v>
      </c>
      <c r="O7" s="10" t="s">
        <v>331</v>
      </c>
      <c r="Q7" s="17">
        <f>($F$6+2*'AA Exact Masses'!$Q$3)/2</f>
        <v>966.95775499999991</v>
      </c>
      <c r="R7" s="10" t="s">
        <v>331</v>
      </c>
      <c r="S7" s="17">
        <f>($F$6*2+2*'AA Exact Masses'!$Q$3)/2</f>
        <v>1910.92571</v>
      </c>
      <c r="T7" s="10" t="s">
        <v>423</v>
      </c>
      <c r="U7" s="17">
        <f>($F$6*3+2*'AA Exact Masses'!$Q$3)/2</f>
        <v>2854.8936649999996</v>
      </c>
      <c r="V7" s="10" t="s">
        <v>446</v>
      </c>
      <c r="W7" s="17">
        <f>($F$6*4+2*'AA Exact Masses'!$Q$3)/2</f>
        <v>3798.8616199999997</v>
      </c>
      <c r="X7" s="10" t="s">
        <v>331</v>
      </c>
      <c r="Z7" s="25">
        <f>IF('Mass Ion Calculations'!$D$6="No",IF('Mass Ion Calculations'!$D$7="Yes", TRUNC(Aggregate!H7,0),TRUNC(Aggregate!Q7,0)),IF('Mass Ion Calculations'!$D$7="Yes",TRUNC(Aggregate!H34,0),TRUNC(Aggregate!Q34,0)))</f>
        <v>957</v>
      </c>
      <c r="AA7" s="10" t="s">
        <v>331</v>
      </c>
      <c r="AB7" s="10" t="s">
        <v>94</v>
      </c>
      <c r="AC7" s="25">
        <f>IF('Mass Ion Calculations'!$D$6="No",IF('Mass Ion Calculations'!$D$7="Yes", TRUNC(Aggregate!J7,0),TRUNC(Aggregate!S7,0)),IF('Mass Ion Calculations'!$D$7="Yes",TRUNC(Aggregate!J34,0),TRUNC(Aggregate!S34,0)))</f>
        <v>1892</v>
      </c>
      <c r="AD7" s="10" t="s">
        <v>423</v>
      </c>
      <c r="AE7" s="10" t="s">
        <v>91</v>
      </c>
      <c r="AF7" s="25">
        <f>IF('Mass Ion Calculations'!$D$6="No",IF('Mass Ion Calculations'!$D$7="Yes", TRUNC(Aggregate!L7,0),TRUNC(Aggregate!U7,0)),IF('Mass Ion Calculations'!$D$7="Yes",TRUNC(Aggregate!L34,0),TRUNC(Aggregate!U34,0)))</f>
        <v>2827</v>
      </c>
      <c r="AG7" s="10" t="s">
        <v>446</v>
      </c>
      <c r="AH7" s="10" t="s">
        <v>92</v>
      </c>
      <c r="AI7" s="25">
        <f>IF('Mass Ion Calculations'!$D$6="No",IF('Mass Ion Calculations'!$D$7="Yes", TRUNC(Aggregate!N7,0),TRUNC(Aggregate!W7,0)),IF('Mass Ion Calculations'!$D$7="Yes",TRUNC(Aggregate!N34,0),TRUNC(Aggregate!W34,0)))</f>
        <v>3762</v>
      </c>
      <c r="AJ7" s="10" t="s">
        <v>331</v>
      </c>
      <c r="AK7" s="10" t="s">
        <v>93</v>
      </c>
      <c r="AM7" s="17">
        <f t="shared" si="0"/>
        <v>966</v>
      </c>
      <c r="AN7" s="10" t="s">
        <v>331</v>
      </c>
      <c r="AO7" s="17">
        <f t="shared" si="1"/>
        <v>1910</v>
      </c>
      <c r="AP7" s="10" t="s">
        <v>423</v>
      </c>
      <c r="AQ7" s="17">
        <f t="shared" si="2"/>
        <v>2854</v>
      </c>
      <c r="AR7" s="10" t="s">
        <v>446</v>
      </c>
      <c r="AS7" s="17">
        <f t="shared" si="3"/>
        <v>3798</v>
      </c>
      <c r="AT7" s="10" t="s">
        <v>331</v>
      </c>
    </row>
    <row r="8" spans="4:46" x14ac:dyDescent="0.25">
      <c r="H8" s="16">
        <f>($D$6+2*'AA Exact Masses'!$Q$4)/2</f>
        <v>1189.0729200000001</v>
      </c>
      <c r="I8" s="10" t="s">
        <v>335</v>
      </c>
      <c r="J8" s="16">
        <f>($D$6*2+2*'AA Exact Masses'!$Q$4)/2</f>
        <v>2339.1821300000001</v>
      </c>
      <c r="K8" s="10" t="s">
        <v>424</v>
      </c>
      <c r="L8" s="16">
        <f>($D$6*3+2*'AA Exact Masses'!$Q$4)/2</f>
        <v>3489.2913400000002</v>
      </c>
      <c r="M8" s="10" t="s">
        <v>447</v>
      </c>
      <c r="N8" s="16">
        <f>($D$6*4+2*'AA Exact Masses'!$Q$4)/2</f>
        <v>4639.4005500000003</v>
      </c>
      <c r="O8" s="10" t="s">
        <v>469</v>
      </c>
      <c r="Q8" s="17">
        <f>($F$6+2*'AA Exact Masses'!$Q$4)/2</f>
        <v>982.93166499999995</v>
      </c>
      <c r="R8" s="10" t="s">
        <v>335</v>
      </c>
      <c r="S8" s="17">
        <f>($F$6*2+2*'AA Exact Masses'!$Q$4)/2</f>
        <v>1926.8996199999999</v>
      </c>
      <c r="T8" s="10" t="s">
        <v>424</v>
      </c>
      <c r="U8" s="17">
        <f>($F$6*3+2*'AA Exact Masses'!$Q$4)/2</f>
        <v>2870.8675749999998</v>
      </c>
      <c r="V8" s="10" t="s">
        <v>447</v>
      </c>
      <c r="W8" s="17">
        <f>($F$6*4+2*'AA Exact Masses'!$Q$4)/2</f>
        <v>3814.8355299999998</v>
      </c>
      <c r="X8" s="10" t="s">
        <v>469</v>
      </c>
      <c r="Z8" s="25">
        <f>IF('Mass Ion Calculations'!$D$6="No",IF('Mass Ion Calculations'!$D$7="Yes", TRUNC(Aggregate!H8,0),TRUNC(Aggregate!Q8,0)),IF('Mass Ion Calculations'!$D$7="Yes",TRUNC(Aggregate!H35,0),TRUNC(Aggregate!Q35,0)))</f>
        <v>973</v>
      </c>
      <c r="AA8" s="10" t="s">
        <v>335</v>
      </c>
      <c r="AB8" s="10" t="s">
        <v>94</v>
      </c>
      <c r="AC8" s="25">
        <f>IF('Mass Ion Calculations'!$D$6="No",IF('Mass Ion Calculations'!$D$7="Yes", TRUNC(Aggregate!J8,0),TRUNC(Aggregate!S8,0)),IF('Mass Ion Calculations'!$D$7="Yes",TRUNC(Aggregate!J35,0),TRUNC(Aggregate!S35,0)))</f>
        <v>1908</v>
      </c>
      <c r="AD8" s="10" t="s">
        <v>424</v>
      </c>
      <c r="AE8" s="10" t="s">
        <v>91</v>
      </c>
      <c r="AF8" s="25">
        <f>IF('Mass Ion Calculations'!$D$6="No",IF('Mass Ion Calculations'!$D$7="Yes", TRUNC(Aggregate!L8,0),TRUNC(Aggregate!U8,0)),IF('Mass Ion Calculations'!$D$7="Yes",TRUNC(Aggregate!L35,0),TRUNC(Aggregate!U35,0)))</f>
        <v>2843</v>
      </c>
      <c r="AG8" s="10" t="s">
        <v>447</v>
      </c>
      <c r="AH8" s="10" t="s">
        <v>92</v>
      </c>
      <c r="AI8" s="25">
        <f>IF('Mass Ion Calculations'!$D$6="No",IF('Mass Ion Calculations'!$D$7="Yes", TRUNC(Aggregate!N8,0),TRUNC(Aggregate!W8,0)),IF('Mass Ion Calculations'!$D$7="Yes",TRUNC(Aggregate!N35,0),TRUNC(Aggregate!W35,0)))</f>
        <v>3778</v>
      </c>
      <c r="AJ8" s="10" t="s">
        <v>469</v>
      </c>
      <c r="AK8" s="10" t="s">
        <v>93</v>
      </c>
      <c r="AM8" s="17">
        <f t="shared" si="0"/>
        <v>982</v>
      </c>
      <c r="AN8" s="10" t="s">
        <v>335</v>
      </c>
      <c r="AO8" s="17">
        <f t="shared" si="1"/>
        <v>1926</v>
      </c>
      <c r="AP8" s="10" t="s">
        <v>424</v>
      </c>
      <c r="AQ8" s="17">
        <f t="shared" si="2"/>
        <v>2870</v>
      </c>
      <c r="AR8" s="10" t="s">
        <v>447</v>
      </c>
      <c r="AS8" s="17">
        <f t="shared" si="3"/>
        <v>3814</v>
      </c>
      <c r="AT8" s="10" t="s">
        <v>469</v>
      </c>
    </row>
    <row r="9" spans="4:46" x14ac:dyDescent="0.25">
      <c r="H9" s="16">
        <f>($D$6+'AA Exact Masses'!$Q$2+'AA Exact Masses'!$Q$3)/2</f>
        <v>1162.1080199999999</v>
      </c>
      <c r="I9" s="10" t="s">
        <v>357</v>
      </c>
      <c r="J9" s="16">
        <f>($D$6*2+'AA Exact Masses'!$Q$2+'AA Exact Masses'!$Q$3)/2</f>
        <v>2312.2172300000002</v>
      </c>
      <c r="K9" s="10" t="s">
        <v>425</v>
      </c>
      <c r="L9" s="16">
        <f>($D$6*3+'AA Exact Masses'!$Q$2+'AA Exact Masses'!$Q$3)/2</f>
        <v>3462.3264400000003</v>
      </c>
      <c r="M9" s="10" t="s">
        <v>448</v>
      </c>
      <c r="N9" s="16">
        <f>($D$6*4+'AA Exact Masses'!$Q$2+'AA Exact Masses'!$Q$3)/2</f>
        <v>4612.4356500000004</v>
      </c>
      <c r="O9" s="10" t="s">
        <v>470</v>
      </c>
      <c r="Q9" s="17">
        <f>($F$6+'AA Exact Masses'!$Q$2+'AA Exact Masses'!$Q$3)/2</f>
        <v>955.96676500000001</v>
      </c>
      <c r="R9" s="10" t="s">
        <v>357</v>
      </c>
      <c r="S9" s="17">
        <f>($F$6*2+'AA Exact Masses'!$Q$2+'AA Exact Masses'!$Q$3)/2</f>
        <v>1899.9347199999997</v>
      </c>
      <c r="T9" s="10" t="s">
        <v>425</v>
      </c>
      <c r="U9" s="17">
        <f>($F$6*3+'AA Exact Masses'!$Q$2+'AA Exact Masses'!$Q$3)/2</f>
        <v>2843.9026749999998</v>
      </c>
      <c r="V9" s="10" t="s">
        <v>448</v>
      </c>
      <c r="W9" s="17">
        <f>($F$6*4+'AA Exact Masses'!$Q$2+'AA Exact Masses'!$Q$3)/2</f>
        <v>3787.8706299999999</v>
      </c>
      <c r="X9" s="10" t="s">
        <v>470</v>
      </c>
      <c r="Z9" s="25">
        <f>IF('Mass Ion Calculations'!$D$6="No",IF('Mass Ion Calculations'!$D$7="Yes", TRUNC(Aggregate!H9,0),TRUNC(Aggregate!Q9,0)),IF('Mass Ion Calculations'!$D$7="Yes",TRUNC(Aggregate!H36,0),TRUNC(Aggregate!Q36,0)))</f>
        <v>946</v>
      </c>
      <c r="AA9" s="10" t="s">
        <v>357</v>
      </c>
      <c r="AB9" s="10" t="s">
        <v>94</v>
      </c>
      <c r="AC9" s="25">
        <f>IF('Mass Ion Calculations'!$D$6="No",IF('Mass Ion Calculations'!$D$7="Yes", TRUNC(Aggregate!J9,0),TRUNC(Aggregate!S9,0)),IF('Mass Ion Calculations'!$D$7="Yes",TRUNC(Aggregate!J36,0),TRUNC(Aggregate!S36,0)))</f>
        <v>1881</v>
      </c>
      <c r="AD9" s="10" t="s">
        <v>425</v>
      </c>
      <c r="AE9" s="10" t="s">
        <v>91</v>
      </c>
      <c r="AF9" s="25">
        <f>IF('Mass Ion Calculations'!$D$6="No",IF('Mass Ion Calculations'!$D$7="Yes", TRUNC(Aggregate!L9,0),TRUNC(Aggregate!U9,0)),IF('Mass Ion Calculations'!$D$7="Yes",TRUNC(Aggregate!L36,0),TRUNC(Aggregate!U36,0)))</f>
        <v>2816</v>
      </c>
      <c r="AG9" s="10" t="s">
        <v>448</v>
      </c>
      <c r="AH9" s="10" t="s">
        <v>92</v>
      </c>
      <c r="AI9" s="25">
        <f>IF('Mass Ion Calculations'!$D$6="No",IF('Mass Ion Calculations'!$D$7="Yes", TRUNC(Aggregate!N9,0),TRUNC(Aggregate!W9,0)),IF('Mass Ion Calculations'!$D$7="Yes",TRUNC(Aggregate!N36,0),TRUNC(Aggregate!W36,0)))</f>
        <v>3751</v>
      </c>
      <c r="AJ9" s="10" t="s">
        <v>470</v>
      </c>
      <c r="AK9" s="10" t="s">
        <v>93</v>
      </c>
      <c r="AM9" s="17">
        <f t="shared" si="0"/>
        <v>955</v>
      </c>
      <c r="AN9" s="10" t="s">
        <v>357</v>
      </c>
      <c r="AO9" s="17">
        <f t="shared" si="1"/>
        <v>1899</v>
      </c>
      <c r="AP9" s="10" t="s">
        <v>425</v>
      </c>
      <c r="AQ9" s="17">
        <f t="shared" si="2"/>
        <v>2843</v>
      </c>
      <c r="AR9" s="10" t="s">
        <v>448</v>
      </c>
      <c r="AS9" s="17">
        <f t="shared" si="3"/>
        <v>3787</v>
      </c>
      <c r="AT9" s="10" t="s">
        <v>470</v>
      </c>
    </row>
    <row r="10" spans="4:46" x14ac:dyDescent="0.25">
      <c r="H10" s="16">
        <f>($D$6+'AA Exact Masses'!$Q$3+'AA Exact Masses'!$Q$4)/2</f>
        <v>1181.085965</v>
      </c>
      <c r="I10" s="10" t="s">
        <v>336</v>
      </c>
      <c r="J10" s="16">
        <f>($D$6*2+'AA Exact Masses'!$Q$3+'AA Exact Masses'!$Q$4)/2</f>
        <v>2331.1951750000003</v>
      </c>
      <c r="K10" s="10" t="s">
        <v>426</v>
      </c>
      <c r="L10" s="16">
        <f>($D$6*3+'AA Exact Masses'!$Q$3+'AA Exact Masses'!$Q$4)/2</f>
        <v>3481.3043850000004</v>
      </c>
      <c r="M10" s="10" t="s">
        <v>449</v>
      </c>
      <c r="N10" s="16">
        <f>($D$6*4+'AA Exact Masses'!$Q$3+'AA Exact Masses'!$Q$4)/2</f>
        <v>4631.413595</v>
      </c>
      <c r="O10" s="10" t="s">
        <v>471</v>
      </c>
      <c r="Q10" s="17">
        <f>($F$6+'AA Exact Masses'!$Q$3+'AA Exact Masses'!$Q$4)/2</f>
        <v>974.94470999999999</v>
      </c>
      <c r="R10" s="10" t="s">
        <v>336</v>
      </c>
      <c r="S10" s="17">
        <f>($F$6*2+'AA Exact Masses'!$Q$3+'AA Exact Masses'!$Q$4)/2</f>
        <v>1918.9126649999998</v>
      </c>
      <c r="T10" s="10" t="s">
        <v>426</v>
      </c>
      <c r="U10" s="17">
        <f>($F$6*3+'AA Exact Masses'!$Q$3+'AA Exact Masses'!$Q$4)/2</f>
        <v>2862.8806199999999</v>
      </c>
      <c r="V10" s="10" t="s">
        <v>449</v>
      </c>
      <c r="W10" s="17">
        <f>($F$6*4+'AA Exact Masses'!$Q$3+'AA Exact Masses'!$Q$4)/2</f>
        <v>3806.848575</v>
      </c>
      <c r="X10" s="10" t="s">
        <v>471</v>
      </c>
      <c r="Z10" s="25">
        <f>IF('Mass Ion Calculations'!$D$6="No",IF('Mass Ion Calculations'!$D$7="Yes", TRUNC(Aggregate!H10,0),TRUNC(Aggregate!Q10,0)),IF('Mass Ion Calculations'!$D$7="Yes",TRUNC(Aggregate!H37,0),TRUNC(Aggregate!Q37,0)))</f>
        <v>965</v>
      </c>
      <c r="AA10" s="10" t="s">
        <v>336</v>
      </c>
      <c r="AB10" s="10" t="s">
        <v>94</v>
      </c>
      <c r="AC10" s="25">
        <f>IF('Mass Ion Calculations'!$D$6="No",IF('Mass Ion Calculations'!$D$7="Yes", TRUNC(Aggregate!J10,0),TRUNC(Aggregate!S10,0)),IF('Mass Ion Calculations'!$D$7="Yes",TRUNC(Aggregate!J37,0),TRUNC(Aggregate!S37,0)))</f>
        <v>1900</v>
      </c>
      <c r="AD10" s="10" t="s">
        <v>426</v>
      </c>
      <c r="AE10" s="10" t="s">
        <v>91</v>
      </c>
      <c r="AF10" s="25">
        <f>IF('Mass Ion Calculations'!$D$6="No",IF('Mass Ion Calculations'!$D$7="Yes", TRUNC(Aggregate!L10,0),TRUNC(Aggregate!U10,0)),IF('Mass Ion Calculations'!$D$7="Yes",TRUNC(Aggregate!L37,0),TRUNC(Aggregate!U37,0)))</f>
        <v>2835</v>
      </c>
      <c r="AG10" s="10" t="s">
        <v>449</v>
      </c>
      <c r="AH10" s="10" t="s">
        <v>92</v>
      </c>
      <c r="AI10" s="25">
        <f>IF('Mass Ion Calculations'!$D$6="No",IF('Mass Ion Calculations'!$D$7="Yes", TRUNC(Aggregate!N10,0),TRUNC(Aggregate!W10,0)),IF('Mass Ion Calculations'!$D$7="Yes",TRUNC(Aggregate!N37,0),TRUNC(Aggregate!W37,0)))</f>
        <v>3770</v>
      </c>
      <c r="AJ10" s="10" t="s">
        <v>471</v>
      </c>
      <c r="AK10" s="10" t="s">
        <v>93</v>
      </c>
      <c r="AM10" s="17">
        <f t="shared" si="0"/>
        <v>974</v>
      </c>
      <c r="AN10" s="10" t="s">
        <v>336</v>
      </c>
      <c r="AO10" s="17">
        <f t="shared" si="1"/>
        <v>1918</v>
      </c>
      <c r="AP10" s="10" t="s">
        <v>426</v>
      </c>
      <c r="AQ10" s="17">
        <f t="shared" si="2"/>
        <v>2862</v>
      </c>
      <c r="AR10" s="10" t="s">
        <v>449</v>
      </c>
      <c r="AS10" s="17">
        <f t="shared" si="3"/>
        <v>3806</v>
      </c>
      <c r="AT10" s="10" t="s">
        <v>471</v>
      </c>
    </row>
    <row r="11" spans="4:46" x14ac:dyDescent="0.25">
      <c r="H11" s="16">
        <f>($D$6+'AA Exact Masses'!$Q$2+'AA Exact Masses'!$Q$4)/2</f>
        <v>1170.094975</v>
      </c>
      <c r="I11" s="10" t="s">
        <v>337</v>
      </c>
      <c r="J11" s="16">
        <f>($D$6*2+'AA Exact Masses'!$Q$2+'AA Exact Masses'!$Q$4)/2</f>
        <v>2320.2041850000001</v>
      </c>
      <c r="K11" s="10" t="s">
        <v>427</v>
      </c>
      <c r="L11" s="16">
        <f>($D$6*3+'AA Exact Masses'!$Q$2+'AA Exact Masses'!$Q$4)/2</f>
        <v>3470.3133950000001</v>
      </c>
      <c r="M11" s="10" t="s">
        <v>450</v>
      </c>
      <c r="N11" s="16">
        <f>($D$6*4+'AA Exact Masses'!$Q$2+'AA Exact Masses'!$Q$4)/2</f>
        <v>4620.4226050000007</v>
      </c>
      <c r="O11" s="10" t="s">
        <v>472</v>
      </c>
      <c r="Q11" s="17">
        <f>($F$6+'AA Exact Masses'!$Q$2+'AA Exact Masses'!$Q$4)/2</f>
        <v>963.95371999999998</v>
      </c>
      <c r="R11" s="10" t="s">
        <v>337</v>
      </c>
      <c r="S11" s="17">
        <f>($F$6*2+'AA Exact Masses'!$Q$2+'AA Exact Masses'!$Q$4)/2</f>
        <v>1907.9216749999998</v>
      </c>
      <c r="T11" s="10" t="s">
        <v>427</v>
      </c>
      <c r="U11" s="17">
        <f>($F$6*3+'AA Exact Masses'!$Q$2+'AA Exact Masses'!$Q$4)/2</f>
        <v>2851.8896299999997</v>
      </c>
      <c r="V11" s="10" t="s">
        <v>450</v>
      </c>
      <c r="W11" s="17">
        <f>($F$6*4+'AA Exact Masses'!$Q$2+'AA Exact Masses'!$Q$4)/2</f>
        <v>3795.8575849999997</v>
      </c>
      <c r="X11" s="10" t="s">
        <v>472</v>
      </c>
      <c r="Z11" s="25">
        <f>IF('Mass Ion Calculations'!$D$6="No",IF('Mass Ion Calculations'!$D$7="Yes", TRUNC(Aggregate!H11,0),TRUNC(Aggregate!Q11,0)),IF('Mass Ion Calculations'!$D$7="Yes",TRUNC(Aggregate!H38,0),TRUNC(Aggregate!Q38,0)))</f>
        <v>954</v>
      </c>
      <c r="AA11" s="10" t="s">
        <v>337</v>
      </c>
      <c r="AB11" s="10" t="s">
        <v>94</v>
      </c>
      <c r="AC11" s="25">
        <f>IF('Mass Ion Calculations'!$D$6="No",IF('Mass Ion Calculations'!$D$7="Yes", TRUNC(Aggregate!J11,0),TRUNC(Aggregate!S11,0)),IF('Mass Ion Calculations'!$D$7="Yes",TRUNC(Aggregate!J38,0),TRUNC(Aggregate!S38,0)))</f>
        <v>1889</v>
      </c>
      <c r="AD11" s="10" t="s">
        <v>427</v>
      </c>
      <c r="AE11" s="10" t="s">
        <v>91</v>
      </c>
      <c r="AF11" s="25">
        <f>IF('Mass Ion Calculations'!$D$6="No",IF('Mass Ion Calculations'!$D$7="Yes", TRUNC(Aggregate!L11,0),TRUNC(Aggregate!U11,0)),IF('Mass Ion Calculations'!$D$7="Yes",TRUNC(Aggregate!L38,0),TRUNC(Aggregate!U38,0)))</f>
        <v>2824</v>
      </c>
      <c r="AG11" s="10" t="s">
        <v>450</v>
      </c>
      <c r="AH11" s="10" t="s">
        <v>92</v>
      </c>
      <c r="AI11" s="25">
        <f>IF('Mass Ion Calculations'!$D$6="No",IF('Mass Ion Calculations'!$D$7="Yes", TRUNC(Aggregate!N11,0),TRUNC(Aggregate!W11,0)),IF('Mass Ion Calculations'!$D$7="Yes",TRUNC(Aggregate!N38,0),TRUNC(Aggregate!W38,0)))</f>
        <v>3759</v>
      </c>
      <c r="AJ11" s="10" t="s">
        <v>472</v>
      </c>
      <c r="AK11" s="10" t="s">
        <v>93</v>
      </c>
      <c r="AM11" s="17">
        <f t="shared" si="0"/>
        <v>963</v>
      </c>
      <c r="AN11" s="10" t="s">
        <v>337</v>
      </c>
      <c r="AO11" s="17">
        <f t="shared" si="1"/>
        <v>1907</v>
      </c>
      <c r="AP11" s="10" t="s">
        <v>427</v>
      </c>
      <c r="AQ11" s="17">
        <f t="shared" si="2"/>
        <v>2851</v>
      </c>
      <c r="AR11" s="10" t="s">
        <v>450</v>
      </c>
      <c r="AS11" s="17">
        <f t="shared" si="3"/>
        <v>3795</v>
      </c>
      <c r="AT11" s="10" t="s">
        <v>472</v>
      </c>
    </row>
    <row r="12" spans="4:46" x14ac:dyDescent="0.25">
      <c r="H12" s="16">
        <f>($D$6+3*'AA Exact Masses'!$Q$2)/3</f>
        <v>767.74729333333335</v>
      </c>
      <c r="I12" s="10" t="s">
        <v>338</v>
      </c>
      <c r="J12" s="16">
        <f>($D$6*2+3*'AA Exact Masses'!$Q$2)/3</f>
        <v>1534.4867666666669</v>
      </c>
      <c r="K12" s="10" t="s">
        <v>428</v>
      </c>
      <c r="L12" s="16">
        <f>($D$6*3+3*'AA Exact Masses'!$Q$2)/3</f>
        <v>2301.2262400000004</v>
      </c>
      <c r="M12" s="10" t="s">
        <v>451</v>
      </c>
      <c r="N12" s="16">
        <f>($D$6*4+3*'AA Exact Masses'!$Q$2)/3</f>
        <v>3067.9657133333335</v>
      </c>
      <c r="O12" s="10" t="s">
        <v>473</v>
      </c>
      <c r="Q12" s="17">
        <f>($F$6+3*'AA Exact Masses'!$Q$2)/3</f>
        <v>630.31979000000001</v>
      </c>
      <c r="R12" s="10" t="s">
        <v>338</v>
      </c>
      <c r="S12" s="17">
        <f>($F$6*2+3*'AA Exact Masses'!$Q$2)/3</f>
        <v>1259.63176</v>
      </c>
      <c r="T12" s="10" t="s">
        <v>428</v>
      </c>
      <c r="U12" s="17">
        <f>($F$6*3+3*'AA Exact Masses'!$Q$2)/3</f>
        <v>1888.94373</v>
      </c>
      <c r="V12" s="10" t="s">
        <v>451</v>
      </c>
      <c r="W12" s="17">
        <f>($F$6*4+3*'AA Exact Masses'!$Q$2)/3</f>
        <v>2518.2557000000002</v>
      </c>
      <c r="X12" s="10" t="s">
        <v>473</v>
      </c>
      <c r="Z12" s="25">
        <f>IF('Mass Ion Calculations'!$D$6="No",IF('Mass Ion Calculations'!$D$7="Yes", TRUNC(Aggregate!H12,0),TRUNC(Aggregate!Q12,0)),IF('Mass Ion Calculations'!$D$7="Yes",TRUNC(Aggregate!H39,0),TRUNC(Aggregate!Q39,0)))</f>
        <v>624</v>
      </c>
      <c r="AA12" s="10" t="s">
        <v>338</v>
      </c>
      <c r="AB12" s="10" t="s">
        <v>94</v>
      </c>
      <c r="AC12" s="25">
        <f>IF('Mass Ion Calculations'!$D$6="No",IF('Mass Ion Calculations'!$D$7="Yes", TRUNC(Aggregate!J12,0),TRUNC(Aggregate!S12,0)),IF('Mass Ion Calculations'!$D$7="Yes",TRUNC(Aggregate!J39,0),TRUNC(Aggregate!S39,0)))</f>
        <v>1247</v>
      </c>
      <c r="AD12" s="10" t="s">
        <v>428</v>
      </c>
      <c r="AE12" s="10" t="s">
        <v>91</v>
      </c>
      <c r="AF12" s="25">
        <f>IF('Mass Ion Calculations'!$D$6="No",IF('Mass Ion Calculations'!$D$7="Yes", TRUNC(Aggregate!L12,0),TRUNC(Aggregate!U12,0)),IF('Mass Ion Calculations'!$D$7="Yes",TRUNC(Aggregate!L39,0),TRUNC(Aggregate!U39,0)))</f>
        <v>1870</v>
      </c>
      <c r="AG12" s="10" t="s">
        <v>451</v>
      </c>
      <c r="AH12" s="10" t="s">
        <v>92</v>
      </c>
      <c r="AI12" s="25">
        <f>IF('Mass Ion Calculations'!$D$6="No",IF('Mass Ion Calculations'!$D$7="Yes", TRUNC(Aggregate!N12,0),TRUNC(Aggregate!W12,0)),IF('Mass Ion Calculations'!$D$7="Yes",TRUNC(Aggregate!N39,0),TRUNC(Aggregate!W39,0)))</f>
        <v>2494</v>
      </c>
      <c r="AJ12" s="10" t="s">
        <v>473</v>
      </c>
      <c r="AK12" s="10" t="s">
        <v>93</v>
      </c>
      <c r="AM12" s="17">
        <f t="shared" si="0"/>
        <v>630</v>
      </c>
      <c r="AN12" s="10" t="s">
        <v>338</v>
      </c>
      <c r="AO12" s="17">
        <f t="shared" si="1"/>
        <v>1259</v>
      </c>
      <c r="AP12" s="10" t="s">
        <v>428</v>
      </c>
      <c r="AQ12" s="17">
        <f t="shared" si="2"/>
        <v>1888</v>
      </c>
      <c r="AR12" s="10" t="s">
        <v>451</v>
      </c>
      <c r="AS12" s="17">
        <f t="shared" si="3"/>
        <v>2518</v>
      </c>
      <c r="AT12" s="10" t="s">
        <v>473</v>
      </c>
    </row>
    <row r="13" spans="4:46" x14ac:dyDescent="0.25">
      <c r="H13" s="16">
        <f>($D$6+'AA Exact Masses'!$Q$2+2*'AA Exact Masses'!$Q$3)/3</f>
        <v>782.40194666666673</v>
      </c>
      <c r="I13" s="10" t="s">
        <v>339</v>
      </c>
      <c r="J13" s="16">
        <f>($D$6*2+'AA Exact Masses'!$Q$2+2*'AA Exact Masses'!$Q$3)/3</f>
        <v>1549.1414199999999</v>
      </c>
      <c r="K13" s="10" t="s">
        <v>429</v>
      </c>
      <c r="L13" s="16">
        <f>($D$6*3+'AA Exact Masses'!$Q$2+2*'AA Exact Masses'!$Q$3)/3</f>
        <v>2315.8808933333335</v>
      </c>
      <c r="M13" s="10" t="s">
        <v>452</v>
      </c>
      <c r="N13" s="16">
        <f>($D$6*4+'AA Exact Masses'!$Q$2+2*'AA Exact Masses'!$Q$3)/3</f>
        <v>3082.6203666666675</v>
      </c>
      <c r="O13" s="10" t="s">
        <v>474</v>
      </c>
      <c r="Q13" s="17">
        <f>($F$6+'AA Exact Masses'!$Q$2+2*'AA Exact Masses'!$Q$3)/3</f>
        <v>644.97444333333328</v>
      </c>
      <c r="R13" s="10" t="s">
        <v>339</v>
      </c>
      <c r="S13" s="17">
        <f>($F$6*2+'AA Exact Masses'!$Q$2+2*'AA Exact Masses'!$Q$3)/3</f>
        <v>1274.2864133333333</v>
      </c>
      <c r="T13" s="10" t="s">
        <v>429</v>
      </c>
      <c r="U13" s="17">
        <f>($F$6*3+'AA Exact Masses'!$Q$2+2*'AA Exact Masses'!$Q$3)/3</f>
        <v>1903.598383333333</v>
      </c>
      <c r="V13" s="10" t="s">
        <v>452</v>
      </c>
      <c r="W13" s="17">
        <f>($F$6*4+'AA Exact Masses'!$Q$2+2*'AA Exact Masses'!$Q$3)/3</f>
        <v>2532.9103533333332</v>
      </c>
      <c r="X13" s="10" t="s">
        <v>474</v>
      </c>
      <c r="Z13" s="25">
        <f>IF('Mass Ion Calculations'!$D$6="No",IF('Mass Ion Calculations'!$D$7="Yes", TRUNC(Aggregate!H13,0),TRUNC(Aggregate!Q13,0)),IF('Mass Ion Calculations'!$D$7="Yes",TRUNC(Aggregate!H40,0),TRUNC(Aggregate!Q40,0)))</f>
        <v>638</v>
      </c>
      <c r="AA13" s="10" t="s">
        <v>339</v>
      </c>
      <c r="AB13" s="10" t="s">
        <v>94</v>
      </c>
      <c r="AC13" s="25">
        <f>IF('Mass Ion Calculations'!$D$6="No",IF('Mass Ion Calculations'!$D$7="Yes", TRUNC(Aggregate!J13,0),TRUNC(Aggregate!S13,0)),IF('Mass Ion Calculations'!$D$7="Yes",TRUNC(Aggregate!J40,0),TRUNC(Aggregate!S40,0)))</f>
        <v>1262</v>
      </c>
      <c r="AD13" s="10" t="s">
        <v>429</v>
      </c>
      <c r="AE13" s="10" t="s">
        <v>91</v>
      </c>
      <c r="AF13" s="25">
        <f>IF('Mass Ion Calculations'!$D$6="No",IF('Mass Ion Calculations'!$D$7="Yes", TRUNC(Aggregate!L13,0),TRUNC(Aggregate!U13,0)),IF('Mass Ion Calculations'!$D$7="Yes",TRUNC(Aggregate!L40,0),TRUNC(Aggregate!U40,0)))</f>
        <v>1885</v>
      </c>
      <c r="AG13" s="10" t="s">
        <v>452</v>
      </c>
      <c r="AH13" s="10" t="s">
        <v>92</v>
      </c>
      <c r="AI13" s="25">
        <f>IF('Mass Ion Calculations'!$D$6="No",IF('Mass Ion Calculations'!$D$7="Yes", TRUNC(Aggregate!N13,0),TRUNC(Aggregate!W13,0)),IF('Mass Ion Calculations'!$D$7="Yes",TRUNC(Aggregate!N40,0),TRUNC(Aggregate!W40,0)))</f>
        <v>2508</v>
      </c>
      <c r="AJ13" s="10" t="s">
        <v>474</v>
      </c>
      <c r="AK13" s="10" t="s">
        <v>93</v>
      </c>
      <c r="AM13" s="17">
        <f t="shared" si="0"/>
        <v>644</v>
      </c>
      <c r="AN13" s="10" t="s">
        <v>339</v>
      </c>
      <c r="AO13" s="17">
        <f t="shared" si="1"/>
        <v>1274</v>
      </c>
      <c r="AP13" s="10" t="s">
        <v>429</v>
      </c>
      <c r="AQ13" s="17">
        <f t="shared" si="2"/>
        <v>1903</v>
      </c>
      <c r="AR13" s="10" t="s">
        <v>452</v>
      </c>
      <c r="AS13" s="17">
        <f t="shared" si="3"/>
        <v>2532</v>
      </c>
      <c r="AT13" s="10" t="s">
        <v>474</v>
      </c>
    </row>
    <row r="14" spans="4:46" x14ac:dyDescent="0.25">
      <c r="H14" s="16">
        <f>($D$6+2*'AA Exact Masses'!$Q$2+'AA Exact Masses'!$Q$3)/3</f>
        <v>775.07461999999998</v>
      </c>
      <c r="I14" s="10" t="s">
        <v>341</v>
      </c>
      <c r="J14" s="16">
        <f>($D$6*2+2*'AA Exact Masses'!$Q$2+'AA Exact Masses'!$Q$3)/3</f>
        <v>1541.8140933333334</v>
      </c>
      <c r="K14" s="10" t="s">
        <v>430</v>
      </c>
      <c r="L14" s="16">
        <f>($D$6*3+2*'AA Exact Masses'!$Q$2+'AA Exact Masses'!$Q$3)/3</f>
        <v>2308.5535666666669</v>
      </c>
      <c r="M14" s="10" t="s">
        <v>453</v>
      </c>
      <c r="N14" s="16">
        <f>($D$6*4+2*'AA Exact Masses'!$Q$2+'AA Exact Masses'!$Q$3)/3</f>
        <v>3075.29304</v>
      </c>
      <c r="O14" s="10" t="s">
        <v>475</v>
      </c>
      <c r="Q14" s="17">
        <f>($F$6+2*'AA Exact Masses'!$Q$2+'AA Exact Masses'!$Q$3)/3</f>
        <v>637.64711666666665</v>
      </c>
      <c r="R14" s="10" t="s">
        <v>341</v>
      </c>
      <c r="S14" s="17">
        <f>($F$6*2+2*'AA Exact Masses'!$Q$2+'AA Exact Masses'!$Q$3)/3</f>
        <v>1266.9590866666665</v>
      </c>
      <c r="T14" s="10" t="s">
        <v>430</v>
      </c>
      <c r="U14" s="17">
        <f>($F$6*3+2*'AA Exact Masses'!$Q$2+'AA Exact Masses'!$Q$3)/3</f>
        <v>1896.2710566666665</v>
      </c>
      <c r="V14" s="10" t="s">
        <v>453</v>
      </c>
      <c r="W14" s="17">
        <f>($F$6*4+2*'AA Exact Masses'!$Q$2+'AA Exact Masses'!$Q$3)/3</f>
        <v>2525.5830266666667</v>
      </c>
      <c r="X14" s="10" t="s">
        <v>475</v>
      </c>
      <c r="Z14" s="25">
        <f>IF('Mass Ion Calculations'!$D$6="No",IF('Mass Ion Calculations'!$D$7="Yes", TRUNC(Aggregate!H14,0),TRUNC(Aggregate!Q14,0)),IF('Mass Ion Calculations'!$D$7="Yes",TRUNC(Aggregate!H41,0),TRUNC(Aggregate!Q41,0)))</f>
        <v>631</v>
      </c>
      <c r="AA14" s="10" t="s">
        <v>341</v>
      </c>
      <c r="AB14" s="10" t="s">
        <v>94</v>
      </c>
      <c r="AC14" s="25">
        <f>IF('Mass Ion Calculations'!$D$6="No",IF('Mass Ion Calculations'!$D$7="Yes", TRUNC(Aggregate!J14,0),TRUNC(Aggregate!S14,0)),IF('Mass Ion Calculations'!$D$7="Yes",TRUNC(Aggregate!J41,0),TRUNC(Aggregate!S41,0)))</f>
        <v>1254</v>
      </c>
      <c r="AD14" s="10" t="s">
        <v>430</v>
      </c>
      <c r="AE14" s="10" t="s">
        <v>91</v>
      </c>
      <c r="AF14" s="25">
        <f>IF('Mass Ion Calculations'!$D$6="No",IF('Mass Ion Calculations'!$D$7="Yes", TRUNC(Aggregate!L14,0),TRUNC(Aggregate!U14,0)),IF('Mass Ion Calculations'!$D$7="Yes",TRUNC(Aggregate!L41,0),TRUNC(Aggregate!U41,0)))</f>
        <v>1878</v>
      </c>
      <c r="AG14" s="10" t="s">
        <v>453</v>
      </c>
      <c r="AH14" s="10" t="s">
        <v>92</v>
      </c>
      <c r="AI14" s="25">
        <f>IF('Mass Ion Calculations'!$D$6="No",IF('Mass Ion Calculations'!$D$7="Yes", TRUNC(Aggregate!N14,0),TRUNC(Aggregate!W14,0)),IF('Mass Ion Calculations'!$D$7="Yes",TRUNC(Aggregate!N41,0),TRUNC(Aggregate!W41,0)))</f>
        <v>2501</v>
      </c>
      <c r="AJ14" s="10" t="s">
        <v>475</v>
      </c>
      <c r="AK14" s="10" t="s">
        <v>93</v>
      </c>
      <c r="AM14" s="17">
        <f t="shared" si="0"/>
        <v>637</v>
      </c>
      <c r="AN14" s="10" t="s">
        <v>341</v>
      </c>
      <c r="AO14" s="17">
        <f t="shared" si="1"/>
        <v>1266</v>
      </c>
      <c r="AP14" s="10" t="s">
        <v>430</v>
      </c>
      <c r="AQ14" s="17">
        <f t="shared" si="2"/>
        <v>1896</v>
      </c>
      <c r="AR14" s="10" t="s">
        <v>453</v>
      </c>
      <c r="AS14" s="17">
        <f t="shared" si="3"/>
        <v>2525</v>
      </c>
      <c r="AT14" s="10" t="s">
        <v>475</v>
      </c>
    </row>
    <row r="15" spans="4:46" x14ac:dyDescent="0.25">
      <c r="H15" s="16">
        <f>($D$6+4*'AA Exact Masses'!$Q$2)/4</f>
        <v>576.06242500000008</v>
      </c>
      <c r="I15" s="10" t="s">
        <v>346</v>
      </c>
      <c r="J15" s="16">
        <f>($D$6*2+4*'AA Exact Masses'!$Q$2)/4</f>
        <v>1151.1170300000001</v>
      </c>
      <c r="K15" s="10" t="s">
        <v>431</v>
      </c>
      <c r="L15" s="16">
        <f>($D$6*3+4*'AA Exact Masses'!$Q$2)/4</f>
        <v>1726.1716350000002</v>
      </c>
      <c r="M15" s="10" t="s">
        <v>454</v>
      </c>
      <c r="N15" s="16">
        <f>($D$6*4+4*'AA Exact Masses'!$Q$2)/4</f>
        <v>2301.22624</v>
      </c>
      <c r="O15" s="10" t="s">
        <v>476</v>
      </c>
      <c r="Q15" s="17">
        <f>($F$6+4*'AA Exact Masses'!$Q$2)/4</f>
        <v>472.99179749999996</v>
      </c>
      <c r="R15" s="10" t="s">
        <v>346</v>
      </c>
      <c r="S15" s="17">
        <f>($F$6*2+4*'AA Exact Masses'!$Q$2)/4</f>
        <v>944.975775</v>
      </c>
      <c r="T15" s="10" t="s">
        <v>431</v>
      </c>
      <c r="U15" s="17">
        <f>($F$6*3+4*'AA Exact Masses'!$Q$2)/4</f>
        <v>1416.9597524999999</v>
      </c>
      <c r="V15" s="10" t="s">
        <v>454</v>
      </c>
      <c r="W15" s="17">
        <f>($F$6*4+4*'AA Exact Masses'!$Q$2)/4</f>
        <v>1888.94373</v>
      </c>
      <c r="X15" s="10" t="s">
        <v>476</v>
      </c>
      <c r="Z15" s="25">
        <f>IF('Mass Ion Calculations'!$D$6="No",IF('Mass Ion Calculations'!$D$7="Yes", TRUNC(Aggregate!H15,0),TRUNC(Aggregate!Q15,0)),IF('Mass Ion Calculations'!$D$7="Yes",TRUNC(Aggregate!H42,0),TRUNC(Aggregate!Q42,0)))</f>
        <v>468</v>
      </c>
      <c r="AA15" s="10" t="s">
        <v>346</v>
      </c>
      <c r="AB15" s="10" t="s">
        <v>94</v>
      </c>
      <c r="AC15" s="25">
        <f>IF('Mass Ion Calculations'!$D$6="No",IF('Mass Ion Calculations'!$D$7="Yes", TRUNC(Aggregate!J15,0),TRUNC(Aggregate!S15,0)),IF('Mass Ion Calculations'!$D$7="Yes",TRUNC(Aggregate!J42,0),TRUNC(Aggregate!S42,0)))</f>
        <v>935</v>
      </c>
      <c r="AD15" s="10" t="s">
        <v>431</v>
      </c>
      <c r="AE15" s="10" t="s">
        <v>91</v>
      </c>
      <c r="AF15" s="25">
        <f>IF('Mass Ion Calculations'!$D$6="No",IF('Mass Ion Calculations'!$D$7="Yes", TRUNC(Aggregate!L15,0),TRUNC(Aggregate!U15,0)),IF('Mass Ion Calculations'!$D$7="Yes",TRUNC(Aggregate!L42,0),TRUNC(Aggregate!U42,0)))</f>
        <v>1403</v>
      </c>
      <c r="AG15" s="10" t="s">
        <v>454</v>
      </c>
      <c r="AH15" s="10" t="s">
        <v>92</v>
      </c>
      <c r="AI15" s="25">
        <f>IF('Mass Ion Calculations'!$D$6="No",IF('Mass Ion Calculations'!$D$7="Yes", TRUNC(Aggregate!N15,0),TRUNC(Aggregate!W15,0)),IF('Mass Ion Calculations'!$D$7="Yes",TRUNC(Aggregate!N42,0),TRUNC(Aggregate!W42,0)))</f>
        <v>1870</v>
      </c>
      <c r="AJ15" s="10" t="s">
        <v>476</v>
      </c>
      <c r="AK15" s="10" t="s">
        <v>93</v>
      </c>
      <c r="AM15" s="17">
        <f t="shared" si="0"/>
        <v>472</v>
      </c>
      <c r="AN15" s="10" t="s">
        <v>346</v>
      </c>
      <c r="AO15" s="17">
        <f t="shared" si="1"/>
        <v>944</v>
      </c>
      <c r="AP15" s="10" t="s">
        <v>431</v>
      </c>
      <c r="AQ15" s="17">
        <f t="shared" si="2"/>
        <v>1416</v>
      </c>
      <c r="AR15" s="10" t="s">
        <v>454</v>
      </c>
      <c r="AS15" s="17">
        <f t="shared" si="3"/>
        <v>1888</v>
      </c>
      <c r="AT15" s="10" t="s">
        <v>476</v>
      </c>
    </row>
    <row r="16" spans="4:46" x14ac:dyDescent="0.25">
      <c r="H16" s="16">
        <f>($D$6+3*'AA Exact Masses'!$Q$2+'AA Exact Masses'!$Q$3)/4</f>
        <v>581.55791999999997</v>
      </c>
      <c r="I16" s="10" t="s">
        <v>358</v>
      </c>
      <c r="J16" s="16">
        <f>($D$6*2+3*'AA Exact Masses'!$Q$2+'AA Exact Masses'!$Q$3)/4</f>
        <v>1156.6125250000002</v>
      </c>
      <c r="K16" s="10" t="s">
        <v>432</v>
      </c>
      <c r="L16" s="16">
        <f>($D$6*3+3*'AA Exact Masses'!$Q$2+'AA Exact Masses'!$Q$3)/4</f>
        <v>1731.6671300000003</v>
      </c>
      <c r="M16" s="10" t="s">
        <v>455</v>
      </c>
      <c r="N16" s="16">
        <f>($D$6*4+3*'AA Exact Masses'!$Q$2+'AA Exact Masses'!$Q$3)/4</f>
        <v>2306.7217350000001</v>
      </c>
      <c r="O16" s="10" t="s">
        <v>477</v>
      </c>
      <c r="Q16" s="17">
        <f>($F$6+3*'AA Exact Masses'!$Q$2+'AA Exact Masses'!$Q$3)/4</f>
        <v>478.48729250000002</v>
      </c>
      <c r="R16" s="10" t="s">
        <v>358</v>
      </c>
      <c r="S16" s="17">
        <f>($F$6*2+3*'AA Exact Masses'!$Q$2+'AA Exact Masses'!$Q$3)/4</f>
        <v>950.47126999999989</v>
      </c>
      <c r="T16" s="10" t="s">
        <v>432</v>
      </c>
      <c r="U16" s="17">
        <f>($F$6*3+3*'AA Exact Masses'!$Q$2+'AA Exact Masses'!$Q$3)/4</f>
        <v>1422.4552475</v>
      </c>
      <c r="V16" s="10" t="s">
        <v>455</v>
      </c>
      <c r="W16" s="17">
        <f>($F$6*4+4*'AA Exact Masses'!$Q$2+'AA Exact Masses'!$Q$3)/4</f>
        <v>1894.69118</v>
      </c>
      <c r="X16" s="10" t="s">
        <v>477</v>
      </c>
      <c r="Z16" s="25">
        <f>IF('Mass Ion Calculations'!$D$6="No",IF('Mass Ion Calculations'!$D$7="Yes", TRUNC(Aggregate!H16,0),TRUNC(Aggregate!Q16,0)),IF('Mass Ion Calculations'!$D$7="Yes",TRUNC(Aggregate!H43,0),TRUNC(Aggregate!Q43,0)))</f>
        <v>473</v>
      </c>
      <c r="AA16" s="10" t="s">
        <v>358</v>
      </c>
      <c r="AB16" s="10" t="s">
        <v>94</v>
      </c>
      <c r="AC16" s="25">
        <f>IF('Mass Ion Calculations'!$D$6="No",IF('Mass Ion Calculations'!$D$7="Yes", TRUNC(Aggregate!J16,0),TRUNC(Aggregate!S16,0)),IF('Mass Ion Calculations'!$D$7="Yes",TRUNC(Aggregate!J43,0),TRUNC(Aggregate!S43,0)))</f>
        <v>941</v>
      </c>
      <c r="AD16" s="10" t="s">
        <v>432</v>
      </c>
      <c r="AE16" s="10" t="s">
        <v>91</v>
      </c>
      <c r="AF16" s="25">
        <f>IF('Mass Ion Calculations'!$D$6="No",IF('Mass Ion Calculations'!$D$7="Yes", TRUNC(Aggregate!L16,0),TRUNC(Aggregate!U16,0)),IF('Mass Ion Calculations'!$D$7="Yes",TRUNC(Aggregate!L43,0),TRUNC(Aggregate!U43,0)))</f>
        <v>1408</v>
      </c>
      <c r="AG16" s="10" t="s">
        <v>455</v>
      </c>
      <c r="AH16" s="10" t="s">
        <v>92</v>
      </c>
      <c r="AI16" s="25">
        <f>IF('Mass Ion Calculations'!$D$6="No",IF('Mass Ion Calculations'!$D$7="Yes", TRUNC(Aggregate!N16,0),TRUNC(Aggregate!W16,0)),IF('Mass Ion Calculations'!$D$7="Yes",TRUNC(Aggregate!N43,0),TRUNC(Aggregate!W43,0)))</f>
        <v>1876</v>
      </c>
      <c r="AJ16" s="10" t="s">
        <v>477</v>
      </c>
      <c r="AK16" s="10" t="s">
        <v>93</v>
      </c>
      <c r="AM16" s="17">
        <f t="shared" si="0"/>
        <v>478</v>
      </c>
      <c r="AN16" s="10" t="s">
        <v>358</v>
      </c>
      <c r="AO16" s="17">
        <f t="shared" si="1"/>
        <v>950</v>
      </c>
      <c r="AP16" s="10" t="s">
        <v>432</v>
      </c>
      <c r="AQ16" s="17">
        <f t="shared" si="2"/>
        <v>1422</v>
      </c>
      <c r="AR16" s="10" t="s">
        <v>455</v>
      </c>
      <c r="AS16" s="17">
        <f t="shared" si="3"/>
        <v>1894</v>
      </c>
      <c r="AT16" s="10" t="s">
        <v>477</v>
      </c>
    </row>
    <row r="17" spans="7:46" x14ac:dyDescent="0.25">
      <c r="H17" s="16">
        <f>($D$6+2*'AA Exact Masses'!$Q$2+2*'AA Exact Masses'!$R$3)/4</f>
        <v>575.55851500000006</v>
      </c>
      <c r="I17" s="10" t="s">
        <v>359</v>
      </c>
      <c r="J17" s="16">
        <f>($D$6*2+2*'AA Exact Masses'!$Q$2+2*'AA Exact Masses'!$R$3)/4</f>
        <v>1150.61312</v>
      </c>
      <c r="K17" s="10" t="s">
        <v>433</v>
      </c>
      <c r="L17" s="16">
        <f>($D$6*3+2*'AA Exact Masses'!$Q$2+2*'AA Exact Masses'!$R$3)/4</f>
        <v>1725.667725</v>
      </c>
      <c r="M17" s="10" t="s">
        <v>456</v>
      </c>
      <c r="N17" s="16">
        <f>($D$6*4+2*'AA Exact Masses'!$Q$2+2*'AA Exact Masses'!$R$3)/4</f>
        <v>2300.7223300000001</v>
      </c>
      <c r="O17" s="10" t="s">
        <v>478</v>
      </c>
      <c r="Q17" s="17">
        <f>($F$6+2*'AA Exact Masses'!$Q$2+2*'AA Exact Masses'!$Q$3)/4</f>
        <v>483.98278749999997</v>
      </c>
      <c r="R17" s="10" t="s">
        <v>359</v>
      </c>
      <c r="S17" s="17">
        <f>($F$6*2+2*'AA Exact Masses'!$Q$2+2*'AA Exact Masses'!$Q$3)/4</f>
        <v>955.96676500000001</v>
      </c>
      <c r="T17" s="10" t="s">
        <v>433</v>
      </c>
      <c r="U17" s="17">
        <f>($F$6*3+2*'AA Exact Masses'!$Q$2+2*'AA Exact Masses'!$Q$3)/4</f>
        <v>1427.9507424999997</v>
      </c>
      <c r="V17" s="10" t="s">
        <v>456</v>
      </c>
      <c r="W17" s="17">
        <f>($F$6*4+2*'AA Exact Masses'!$Q$2+2*'AA Exact Masses'!$Q$3)/4</f>
        <v>1899.9347199999997</v>
      </c>
      <c r="X17" s="10" t="s">
        <v>478</v>
      </c>
      <c r="Z17" s="25">
        <f>IF('Mass Ion Calculations'!$D$6="No",IF('Mass Ion Calculations'!$D$7="Yes", TRUNC(Aggregate!H17,0),TRUNC(Aggregate!Q17,0)),IF('Mass Ion Calculations'!$D$7="Yes",TRUNC(Aggregate!H44,0),TRUNC(Aggregate!Q44,0)))</f>
        <v>479</v>
      </c>
      <c r="AA17" s="10" t="s">
        <v>359</v>
      </c>
      <c r="AB17" s="10" t="s">
        <v>94</v>
      </c>
      <c r="AC17" s="25">
        <f>IF('Mass Ion Calculations'!$D$6="No",IF('Mass Ion Calculations'!$D$7="Yes", TRUNC(Aggregate!J17,0),TRUNC(Aggregate!S17,0)),IF('Mass Ion Calculations'!$D$7="Yes",TRUNC(Aggregate!J44,0),TRUNC(Aggregate!S44,0)))</f>
        <v>946</v>
      </c>
      <c r="AD17" s="10" t="s">
        <v>433</v>
      </c>
      <c r="AE17" s="10" t="s">
        <v>91</v>
      </c>
      <c r="AF17" s="25">
        <f>IF('Mass Ion Calculations'!$D$6="No",IF('Mass Ion Calculations'!$D$7="Yes", TRUNC(Aggregate!L17,0),TRUNC(Aggregate!U17,0)),IF('Mass Ion Calculations'!$D$7="Yes",TRUNC(Aggregate!L44,0),TRUNC(Aggregate!U44,0)))</f>
        <v>1414</v>
      </c>
      <c r="AG17" s="10" t="s">
        <v>456</v>
      </c>
      <c r="AH17" s="10" t="s">
        <v>92</v>
      </c>
      <c r="AI17" s="25">
        <f>IF('Mass Ion Calculations'!$D$6="No",IF('Mass Ion Calculations'!$D$7="Yes", TRUNC(Aggregate!N17,0),TRUNC(Aggregate!W17,0)),IF('Mass Ion Calculations'!$D$7="Yes",TRUNC(Aggregate!N44,0),TRUNC(Aggregate!W44,0)))</f>
        <v>1881</v>
      </c>
      <c r="AJ17" s="10" t="s">
        <v>478</v>
      </c>
      <c r="AK17" s="10" t="s">
        <v>93</v>
      </c>
      <c r="AM17" s="17">
        <f t="shared" si="0"/>
        <v>483</v>
      </c>
      <c r="AN17" s="10" t="s">
        <v>359</v>
      </c>
      <c r="AO17" s="17">
        <f t="shared" si="1"/>
        <v>955</v>
      </c>
      <c r="AP17" s="10" t="s">
        <v>433</v>
      </c>
      <c r="AQ17" s="17">
        <f t="shared" si="2"/>
        <v>1427</v>
      </c>
      <c r="AR17" s="10" t="s">
        <v>456</v>
      </c>
      <c r="AS17" s="17">
        <f t="shared" si="3"/>
        <v>1899</v>
      </c>
      <c r="AT17" s="10" t="s">
        <v>478</v>
      </c>
    </row>
    <row r="18" spans="7:46" x14ac:dyDescent="0.25">
      <c r="H18" s="16">
        <f>($D$6+'AA Exact Masses'!$Q$2+3*'AA Exact Masses'!$Q$3)/4</f>
        <v>592.54890999999998</v>
      </c>
      <c r="I18" s="10" t="s">
        <v>360</v>
      </c>
      <c r="J18" s="16">
        <f>($D$6*2+'AA Exact Masses'!$Q$2+3*'AA Exact Masses'!$Q$3)/4</f>
        <v>1167.603515</v>
      </c>
      <c r="K18" s="10" t="s">
        <v>434</v>
      </c>
      <c r="L18" s="16">
        <f>($D$6*3+'AA Exact Masses'!$Q$2+3*'AA Exact Masses'!$Q$3)/4</f>
        <v>1742.6581200000001</v>
      </c>
      <c r="M18" s="10" t="s">
        <v>457</v>
      </c>
      <c r="N18" s="16">
        <f>($D$6*4+'AA Exact Masses'!$Q$2+3*'AA Exact Masses'!$Q$3)/4</f>
        <v>2317.7127250000003</v>
      </c>
      <c r="O18" s="10" t="s">
        <v>479</v>
      </c>
      <c r="Q18" s="17">
        <f>($F$6+'AA Exact Masses'!$Q$2+3*'AA Exact Masses'!$Q$3)/4</f>
        <v>489.47828249999998</v>
      </c>
      <c r="R18" s="10" t="s">
        <v>360</v>
      </c>
      <c r="S18" s="17">
        <f>($F$6*2+'AA Exact Masses'!$Q$2+3*'AA Exact Masses'!$Q$3)/4</f>
        <v>961.4622599999999</v>
      </c>
      <c r="T18" s="10" t="s">
        <v>434</v>
      </c>
      <c r="U18" s="17">
        <f>($F$6*3+'AA Exact Masses'!$Q$2+3*'AA Exact Masses'!$Q$3)/4</f>
        <v>1433.4462374999998</v>
      </c>
      <c r="V18" s="10" t="s">
        <v>457</v>
      </c>
      <c r="W18" s="17">
        <f>($F$6*4+'AA Exact Masses'!$Q$2+3*'AA Exact Masses'!$Q$3)/4</f>
        <v>1905.4302149999999</v>
      </c>
      <c r="X18" s="10" t="s">
        <v>479</v>
      </c>
      <c r="Z18" s="25">
        <f>IF('Mass Ion Calculations'!$D$6="No",IF('Mass Ion Calculations'!$D$7="Yes", TRUNC(Aggregate!H18,0),TRUNC(Aggregate!Q18,0)),IF('Mass Ion Calculations'!$D$7="Yes",TRUNC(Aggregate!H45,0),TRUNC(Aggregate!Q45,0)))</f>
        <v>484</v>
      </c>
      <c r="AA18" s="10" t="s">
        <v>360</v>
      </c>
      <c r="AB18" s="10" t="s">
        <v>94</v>
      </c>
      <c r="AC18" s="25">
        <f>IF('Mass Ion Calculations'!$D$6="No",IF('Mass Ion Calculations'!$D$7="Yes", TRUNC(Aggregate!J18,0),TRUNC(Aggregate!S18,0)),IF('Mass Ion Calculations'!$D$7="Yes",TRUNC(Aggregate!J45,0),TRUNC(Aggregate!S45,0)))</f>
        <v>952</v>
      </c>
      <c r="AD18" s="10" t="s">
        <v>434</v>
      </c>
      <c r="AE18" s="10" t="s">
        <v>91</v>
      </c>
      <c r="AF18" s="25">
        <f>IF('Mass Ion Calculations'!$D$6="No",IF('Mass Ion Calculations'!$D$7="Yes", TRUNC(Aggregate!L18,0),TRUNC(Aggregate!U18,0)),IF('Mass Ion Calculations'!$D$7="Yes",TRUNC(Aggregate!L45,0),TRUNC(Aggregate!U45,0)))</f>
        <v>1419</v>
      </c>
      <c r="AG18" s="10" t="s">
        <v>457</v>
      </c>
      <c r="AH18" s="10" t="s">
        <v>92</v>
      </c>
      <c r="AI18" s="25">
        <f>IF('Mass Ion Calculations'!$D$6="No",IF('Mass Ion Calculations'!$D$7="Yes", TRUNC(Aggregate!N18,0),TRUNC(Aggregate!W18,0)),IF('Mass Ion Calculations'!$D$7="Yes",TRUNC(Aggregate!N45,0),TRUNC(Aggregate!W45,0)))</f>
        <v>1887</v>
      </c>
      <c r="AJ18" s="10" t="s">
        <v>479</v>
      </c>
      <c r="AK18" s="10" t="s">
        <v>93</v>
      </c>
      <c r="AM18" s="17">
        <f t="shared" si="0"/>
        <v>489</v>
      </c>
      <c r="AN18" s="10" t="s">
        <v>360</v>
      </c>
      <c r="AO18" s="17">
        <f t="shared" si="1"/>
        <v>961</v>
      </c>
      <c r="AP18" s="10" t="s">
        <v>434</v>
      </c>
      <c r="AQ18" s="17">
        <f t="shared" si="2"/>
        <v>1433</v>
      </c>
      <c r="AR18" s="10" t="s">
        <v>457</v>
      </c>
      <c r="AS18" s="17">
        <f t="shared" si="3"/>
        <v>1905</v>
      </c>
      <c r="AT18" s="10" t="s">
        <v>479</v>
      </c>
    </row>
    <row r="19" spans="7:46" x14ac:dyDescent="0.25">
      <c r="H19" s="16">
        <f>($D$6+4*'AA Exact Masses'!$Q$3)/4</f>
        <v>598.04440499999998</v>
      </c>
      <c r="I19" s="10" t="s">
        <v>350</v>
      </c>
      <c r="J19" s="16">
        <f>($D$6*2+4*'AA Exact Masses'!$Q$3)/4</f>
        <v>1173.0990100000001</v>
      </c>
      <c r="K19" s="10" t="s">
        <v>435</v>
      </c>
      <c r="L19" s="16">
        <f>($D$6*3+4*'AA Exact Masses'!$Q$3)/4</f>
        <v>1748.1536150000002</v>
      </c>
      <c r="M19" s="10" t="s">
        <v>458</v>
      </c>
      <c r="N19" s="16">
        <f>($D$6*4+4*'AA Exact Masses'!$Q$3)/4</f>
        <v>2323.20822</v>
      </c>
      <c r="O19" s="10" t="s">
        <v>480</v>
      </c>
      <c r="Q19" s="17">
        <f>($F$6+4*'AA Exact Masses'!$Q$3)/4</f>
        <v>494.97377749999998</v>
      </c>
      <c r="R19" s="10" t="s">
        <v>350</v>
      </c>
      <c r="S19" s="17">
        <f>($F$6*2+4*'AA Exact Masses'!$Q$3)/4</f>
        <v>966.95775499999991</v>
      </c>
      <c r="T19" s="10" t="s">
        <v>435</v>
      </c>
      <c r="U19" s="17">
        <f>($F$6*3+4*'AA Exact Masses'!$Q$3)/4</f>
        <v>1438.9417324999999</v>
      </c>
      <c r="V19" s="10" t="s">
        <v>458</v>
      </c>
      <c r="W19" s="17">
        <f>($F$6*4+4*'AA Exact Masses'!$Q$3)/4</f>
        <v>1910.92571</v>
      </c>
      <c r="X19" s="10" t="s">
        <v>480</v>
      </c>
      <c r="Z19" s="25">
        <f>IF('Mass Ion Calculations'!$D$6="No",IF('Mass Ion Calculations'!$D$7="Yes", TRUNC(Aggregate!H19,0),TRUNC(Aggregate!Q19,0)),IF('Mass Ion Calculations'!$D$7="Yes",TRUNC(Aggregate!H46,0),TRUNC(Aggregate!Q46,0)))</f>
        <v>490</v>
      </c>
      <c r="AA19" s="10" t="s">
        <v>350</v>
      </c>
      <c r="AB19" s="10" t="s">
        <v>94</v>
      </c>
      <c r="AC19" s="25">
        <f>IF('Mass Ion Calculations'!$D$6="No",IF('Mass Ion Calculations'!$D$7="Yes", TRUNC(Aggregate!J19,0),TRUNC(Aggregate!S19,0)),IF('Mass Ion Calculations'!$D$7="Yes",TRUNC(Aggregate!J46,0),TRUNC(Aggregate!S46,0)))</f>
        <v>957</v>
      </c>
      <c r="AD19" s="10" t="s">
        <v>435</v>
      </c>
      <c r="AE19" s="10" t="s">
        <v>91</v>
      </c>
      <c r="AF19" s="25">
        <f>IF('Mass Ion Calculations'!$D$6="No",IF('Mass Ion Calculations'!$D$7="Yes", TRUNC(Aggregate!L19,0),TRUNC(Aggregate!U19,0)),IF('Mass Ion Calculations'!$D$7="Yes",TRUNC(Aggregate!L46,0),TRUNC(Aggregate!U46,0)))</f>
        <v>1425</v>
      </c>
      <c r="AG19" s="10" t="s">
        <v>458</v>
      </c>
      <c r="AH19" s="10" t="s">
        <v>92</v>
      </c>
      <c r="AI19" s="25">
        <f>IF('Mass Ion Calculations'!$D$6="No",IF('Mass Ion Calculations'!$D$7="Yes", TRUNC(Aggregate!N19,0),TRUNC(Aggregate!W19,0)),IF('Mass Ion Calculations'!$D$7="Yes",TRUNC(Aggregate!N46,0),TRUNC(Aggregate!W46,0)))</f>
        <v>1892</v>
      </c>
      <c r="AJ19" s="10" t="s">
        <v>480</v>
      </c>
      <c r="AK19" s="10" t="s">
        <v>93</v>
      </c>
      <c r="AM19" s="17">
        <f t="shared" si="0"/>
        <v>494</v>
      </c>
      <c r="AN19" s="10" t="s">
        <v>350</v>
      </c>
      <c r="AO19" s="17">
        <f t="shared" si="1"/>
        <v>966</v>
      </c>
      <c r="AP19" s="10" t="s">
        <v>435</v>
      </c>
      <c r="AQ19" s="17">
        <f t="shared" si="2"/>
        <v>1438</v>
      </c>
      <c r="AR19" s="10" t="s">
        <v>458</v>
      </c>
      <c r="AS19" s="17">
        <f t="shared" si="3"/>
        <v>1910</v>
      </c>
      <c r="AT19" s="10" t="s">
        <v>480</v>
      </c>
    </row>
    <row r="20" spans="7:46" x14ac:dyDescent="0.25">
      <c r="H20" s="16">
        <f>($D$6+5*'AA Exact Masses'!$Q$2)/5</f>
        <v>461.05150400000002</v>
      </c>
      <c r="I20" s="10" t="s">
        <v>351</v>
      </c>
      <c r="J20" s="16">
        <f>($D$6*2+5*'AA Exact Masses'!$Q$2)/5</f>
        <v>921.09518800000001</v>
      </c>
      <c r="K20" s="10" t="s">
        <v>436</v>
      </c>
      <c r="L20" s="16">
        <f>($D$6*3+5*'AA Exact Masses'!$Q$2)/5</f>
        <v>1381.138872</v>
      </c>
      <c r="M20" s="10" t="s">
        <v>459</v>
      </c>
      <c r="N20" s="16">
        <f>($D$6*4+5*'AA Exact Masses'!$Q$2)/5</f>
        <v>1841.1825560000002</v>
      </c>
      <c r="O20" s="10" t="s">
        <v>481</v>
      </c>
      <c r="Q20" s="17">
        <f>($F$6+5*'AA Exact Masses'!$Q$2)/5</f>
        <v>378.59500199999997</v>
      </c>
      <c r="R20" s="10" t="s">
        <v>351</v>
      </c>
      <c r="S20" s="17">
        <f>($F$6*2+5*'AA Exact Masses'!$Q$2)/5</f>
        <v>756.18218400000001</v>
      </c>
      <c r="T20" s="10" t="s">
        <v>436</v>
      </c>
      <c r="U20" s="17">
        <f>($F$6*3+5*'AA Exact Masses'!$Q$2)/5</f>
        <v>1133.769366</v>
      </c>
      <c r="V20" s="10" t="s">
        <v>459</v>
      </c>
      <c r="W20" s="17">
        <f>($F$6*4+5*'AA Exact Masses'!$Q$2)/5</f>
        <v>1511.356548</v>
      </c>
      <c r="X20" s="10" t="s">
        <v>481</v>
      </c>
      <c r="Z20" s="25">
        <f>IF('Mass Ion Calculations'!$D$6="No",IF('Mass Ion Calculations'!$D$7="Yes", TRUNC(Aggregate!H20,0),TRUNC(Aggregate!Q20,0)),IF('Mass Ion Calculations'!$D$7="Yes",TRUNC(Aggregate!H47,0),TRUNC(Aggregate!Q47,0)))</f>
        <v>374</v>
      </c>
      <c r="AA20" s="10" t="s">
        <v>351</v>
      </c>
      <c r="AB20" s="10" t="s">
        <v>94</v>
      </c>
      <c r="AC20" s="25">
        <f>IF('Mass Ion Calculations'!$D$6="No",IF('Mass Ion Calculations'!$D$7="Yes", TRUNC(Aggregate!J20,0),TRUNC(Aggregate!S20,0)),IF('Mass Ion Calculations'!$D$7="Yes",TRUNC(Aggregate!J47,0),TRUNC(Aggregate!S47,0)))</f>
        <v>748</v>
      </c>
      <c r="AD20" s="10" t="s">
        <v>436</v>
      </c>
      <c r="AE20" s="10" t="s">
        <v>91</v>
      </c>
      <c r="AF20" s="25">
        <f>IF('Mass Ion Calculations'!$D$6="No",IF('Mass Ion Calculations'!$D$7="Yes", TRUNC(Aggregate!L20,0),TRUNC(Aggregate!U20,0)),IF('Mass Ion Calculations'!$D$7="Yes",TRUNC(Aggregate!L47,0),TRUNC(Aggregate!U47,0)))</f>
        <v>1122</v>
      </c>
      <c r="AG20" s="10" t="s">
        <v>459</v>
      </c>
      <c r="AH20" s="10" t="s">
        <v>92</v>
      </c>
      <c r="AI20" s="25">
        <f>IF('Mass Ion Calculations'!$D$6="No",IF('Mass Ion Calculations'!$D$7="Yes", TRUNC(Aggregate!N20,0),TRUNC(Aggregate!W20,0)),IF('Mass Ion Calculations'!$D$7="Yes",TRUNC(Aggregate!N47,0),TRUNC(Aggregate!W47,0)))</f>
        <v>1496</v>
      </c>
      <c r="AJ20" s="10" t="s">
        <v>481</v>
      </c>
      <c r="AK20" s="10" t="s">
        <v>93</v>
      </c>
      <c r="AM20" s="17">
        <f t="shared" si="0"/>
        <v>378</v>
      </c>
      <c r="AN20" s="10" t="s">
        <v>351</v>
      </c>
      <c r="AO20" s="17">
        <f t="shared" si="1"/>
        <v>756</v>
      </c>
      <c r="AP20" s="10" t="s">
        <v>436</v>
      </c>
      <c r="AQ20" s="17">
        <f t="shared" si="2"/>
        <v>1133</v>
      </c>
      <c r="AR20" s="10" t="s">
        <v>459</v>
      </c>
      <c r="AS20" s="17">
        <f t="shared" si="3"/>
        <v>1511</v>
      </c>
      <c r="AT20" s="10" t="s">
        <v>481</v>
      </c>
    </row>
    <row r="21" spans="7:46" x14ac:dyDescent="0.25">
      <c r="H21" s="16">
        <f>($D$6+4*'AA Exact Masses'!$Q$2+'AA Exact Masses'!$Q$3)/5</f>
        <v>465.4479</v>
      </c>
      <c r="I21" s="10" t="s">
        <v>352</v>
      </c>
      <c r="J21" s="16">
        <f>($D$6*2+4*'AA Exact Masses'!$Q$2+'AA Exact Masses'!$Q$3)/5</f>
        <v>925.4915840000001</v>
      </c>
      <c r="K21" s="10" t="s">
        <v>437</v>
      </c>
      <c r="L21" s="16">
        <f>($D$6*3+4*'AA Exact Masses'!$Q$2+'AA Exact Masses'!$Q$3)/5</f>
        <v>1385.5352680000001</v>
      </c>
      <c r="M21" s="10" t="s">
        <v>460</v>
      </c>
      <c r="N21" s="16">
        <f>($D$6*4+4*'AA Exact Masses'!$Q$2+'AA Exact Masses'!$Q$3)/5</f>
        <v>1845.5789519999998</v>
      </c>
      <c r="O21" s="10" t="s">
        <v>482</v>
      </c>
      <c r="Q21" s="17">
        <f>($F$6+4*'AA Exact Masses'!$Q$2+'AA Exact Masses'!$Q$3)/5</f>
        <v>382.991398</v>
      </c>
      <c r="R21" s="10" t="s">
        <v>352</v>
      </c>
      <c r="S21" s="17">
        <f>($F$6*2+4*'AA Exact Masses'!$Q$2+'AA Exact Masses'!$Q$3)/5</f>
        <v>760.57857999999999</v>
      </c>
      <c r="T21" s="10" t="s">
        <v>437</v>
      </c>
      <c r="U21" s="17">
        <f>($F$6*3+4*'AA Exact Masses'!$Q$2+'AA Exact Masses'!$Q$3)/5</f>
        <v>1138.1657620000001</v>
      </c>
      <c r="V21" s="10" t="s">
        <v>460</v>
      </c>
      <c r="W21" s="17">
        <f>($F$6*4+4*'AA Exact Masses'!$Q$2+'AA Exact Masses'!$Q$3)/5</f>
        <v>1515.7529440000001</v>
      </c>
      <c r="X21" s="10" t="s">
        <v>482</v>
      </c>
      <c r="Z21" s="25">
        <f>IF('Mass Ion Calculations'!$D$6="No",IF('Mass Ion Calculations'!$D$7="Yes", TRUNC(Aggregate!H21,0),TRUNC(Aggregate!Q21,0)),IF('Mass Ion Calculations'!$D$7="Yes",TRUNC(Aggregate!H48,0),TRUNC(Aggregate!Q48,0)))</f>
        <v>379</v>
      </c>
      <c r="AA21" s="10" t="s">
        <v>352</v>
      </c>
      <c r="AB21" s="10" t="s">
        <v>94</v>
      </c>
      <c r="AC21" s="25">
        <f>IF('Mass Ion Calculations'!$D$6="No",IF('Mass Ion Calculations'!$D$7="Yes", TRUNC(Aggregate!J21,0),TRUNC(Aggregate!S21,0)),IF('Mass Ion Calculations'!$D$7="Yes",TRUNC(Aggregate!J48,0),TRUNC(Aggregate!S48,0)))</f>
        <v>753</v>
      </c>
      <c r="AD21" s="10" t="s">
        <v>437</v>
      </c>
      <c r="AE21" s="10" t="s">
        <v>91</v>
      </c>
      <c r="AF21" s="25">
        <f>IF('Mass Ion Calculations'!$D$6="No",IF('Mass Ion Calculations'!$D$7="Yes", TRUNC(Aggregate!L21,0),TRUNC(Aggregate!U21,0)),IF('Mass Ion Calculations'!$D$7="Yes",TRUNC(Aggregate!L48,0),TRUNC(Aggregate!U48,0)))</f>
        <v>1127</v>
      </c>
      <c r="AG21" s="10" t="s">
        <v>460</v>
      </c>
      <c r="AH21" s="10" t="s">
        <v>92</v>
      </c>
      <c r="AI21" s="25">
        <f>IF('Mass Ion Calculations'!$D$6="No",IF('Mass Ion Calculations'!$D$7="Yes", TRUNC(Aggregate!N21,0),TRUNC(Aggregate!W21,0)),IF('Mass Ion Calculations'!$D$7="Yes",TRUNC(Aggregate!N48,0),TRUNC(Aggregate!W48,0)))</f>
        <v>1501</v>
      </c>
      <c r="AJ21" s="10" t="s">
        <v>482</v>
      </c>
      <c r="AK21" s="10" t="s">
        <v>93</v>
      </c>
      <c r="AM21" s="17">
        <f t="shared" si="0"/>
        <v>382</v>
      </c>
      <c r="AN21" s="10" t="s">
        <v>352</v>
      </c>
      <c r="AO21" s="17">
        <f t="shared" si="1"/>
        <v>760</v>
      </c>
      <c r="AP21" s="10" t="s">
        <v>437</v>
      </c>
      <c r="AQ21" s="17">
        <f t="shared" si="2"/>
        <v>1138</v>
      </c>
      <c r="AR21" s="10" t="s">
        <v>460</v>
      </c>
      <c r="AS21" s="17">
        <f t="shared" si="3"/>
        <v>1515</v>
      </c>
      <c r="AT21" s="10" t="s">
        <v>482</v>
      </c>
    </row>
    <row r="22" spans="7:46" x14ac:dyDescent="0.25">
      <c r="H22" s="16">
        <f>($D$6+3*'AA Exact Masses'!$Q$2+2*'AA Exact Masses'!$Q$3)/5</f>
        <v>469.84429600000004</v>
      </c>
      <c r="I22" s="10" t="s">
        <v>353</v>
      </c>
      <c r="J22" s="16">
        <f>($D$6*2+3*'AA Exact Masses'!$Q$2+2*'AA Exact Masses'!$Q$3)/5</f>
        <v>929.88798000000008</v>
      </c>
      <c r="K22" s="10" t="s">
        <v>438</v>
      </c>
      <c r="L22" s="16">
        <f>($D$6*3+3*'AA Exact Masses'!$Q$2+2*'AA Exact Masses'!$Q$3)/5</f>
        <v>1389.9316640000002</v>
      </c>
      <c r="M22" s="10" t="s">
        <v>461</v>
      </c>
      <c r="N22" s="16">
        <f>($D$6*4+3*'AA Exact Masses'!$Q$2+2*'AA Exact Masses'!$Q$3)/5</f>
        <v>1849.9753480000004</v>
      </c>
      <c r="O22" s="10" t="s">
        <v>483</v>
      </c>
      <c r="Q22" s="17">
        <f>($F$6+3*'AA Exact Masses'!$Q$2+2*'AA Exact Masses'!$Q$3)/5</f>
        <v>387.38779399999999</v>
      </c>
      <c r="R22" s="10" t="s">
        <v>353</v>
      </c>
      <c r="S22" s="17">
        <f>($F$6*2+3*'AA Exact Masses'!$Q$2+2*'AA Exact Masses'!$Q$3)/5</f>
        <v>764.97497599999997</v>
      </c>
      <c r="T22" s="10" t="s">
        <v>438</v>
      </c>
      <c r="U22" s="17">
        <f>($F$6*3+3*'AA Exact Masses'!$Q$2+2*'AA Exact Masses'!$Q$3)/5</f>
        <v>1142.562158</v>
      </c>
      <c r="V22" s="10" t="s">
        <v>461</v>
      </c>
      <c r="W22" s="17">
        <f>($F$6*4+3*'AA Exact Masses'!$Q$2+2*'AA Exact Masses'!$Q$3)/5</f>
        <v>1520.1493399999999</v>
      </c>
      <c r="X22" s="10" t="s">
        <v>483</v>
      </c>
      <c r="Z22" s="25">
        <f>IF('Mass Ion Calculations'!$D$6="No",IF('Mass Ion Calculations'!$D$7="Yes", TRUNC(Aggregate!H22,0),TRUNC(Aggregate!Q22,0)),IF('Mass Ion Calculations'!$D$7="Yes",TRUNC(Aggregate!H49,0),TRUNC(Aggregate!Q49,0)))</f>
        <v>383</v>
      </c>
      <c r="AA22" s="10" t="s">
        <v>353</v>
      </c>
      <c r="AB22" s="10" t="s">
        <v>94</v>
      </c>
      <c r="AC22" s="25">
        <f>IF('Mass Ion Calculations'!$D$6="No",IF('Mass Ion Calculations'!$D$7="Yes", TRUNC(Aggregate!J22,0),TRUNC(Aggregate!S22,0)),IF('Mass Ion Calculations'!$D$7="Yes",TRUNC(Aggregate!J49,0),TRUNC(Aggregate!S49,0)))</f>
        <v>757</v>
      </c>
      <c r="AD22" s="10" t="s">
        <v>438</v>
      </c>
      <c r="AE22" s="10" t="s">
        <v>91</v>
      </c>
      <c r="AF22" s="25">
        <f>IF('Mass Ion Calculations'!$D$6="No",IF('Mass Ion Calculations'!$D$7="Yes", TRUNC(Aggregate!L22,0),TRUNC(Aggregate!U22,0)),IF('Mass Ion Calculations'!$D$7="Yes",TRUNC(Aggregate!L49,0),TRUNC(Aggregate!U49,0)))</f>
        <v>1131</v>
      </c>
      <c r="AG22" s="10" t="s">
        <v>461</v>
      </c>
      <c r="AH22" s="10" t="s">
        <v>92</v>
      </c>
      <c r="AI22" s="25">
        <f>IF('Mass Ion Calculations'!$D$6="No",IF('Mass Ion Calculations'!$D$7="Yes", TRUNC(Aggregate!N22,0),TRUNC(Aggregate!W22,0)),IF('Mass Ion Calculations'!$D$7="Yes",TRUNC(Aggregate!N49,0),TRUNC(Aggregate!W49,0)))</f>
        <v>1505</v>
      </c>
      <c r="AJ22" s="10" t="s">
        <v>483</v>
      </c>
      <c r="AK22" s="10" t="s">
        <v>93</v>
      </c>
      <c r="AM22" s="17">
        <f t="shared" si="0"/>
        <v>387</v>
      </c>
      <c r="AN22" s="10" t="s">
        <v>353</v>
      </c>
      <c r="AO22" s="17">
        <f t="shared" si="1"/>
        <v>764</v>
      </c>
      <c r="AP22" s="10" t="s">
        <v>438</v>
      </c>
      <c r="AQ22" s="17">
        <f t="shared" si="2"/>
        <v>1142</v>
      </c>
      <c r="AR22" s="10" t="s">
        <v>461</v>
      </c>
      <c r="AS22" s="17">
        <f t="shared" si="3"/>
        <v>1520</v>
      </c>
      <c r="AT22" s="10" t="s">
        <v>483</v>
      </c>
    </row>
    <row r="23" spans="7:46" x14ac:dyDescent="0.25">
      <c r="H23" s="16">
        <f>($D$6+2*'AA Exact Masses'!$Q$2+3*'AA Exact Masses'!$Q$3)/5</f>
        <v>474.24069200000002</v>
      </c>
      <c r="I23" s="10" t="s">
        <v>354</v>
      </c>
      <c r="J23" s="16">
        <f>($D$6*2+2*'AA Exact Masses'!$Q$2+3*'AA Exact Masses'!$Q$3)/5</f>
        <v>934.28437599999995</v>
      </c>
      <c r="K23" s="10" t="s">
        <v>439</v>
      </c>
      <c r="L23" s="16">
        <f>($D$6*3+2*'AA Exact Masses'!$Q$2+3*'AA Exact Masses'!$Q$3)/5</f>
        <v>1394.3280600000001</v>
      </c>
      <c r="M23" s="10" t="s">
        <v>462</v>
      </c>
      <c r="N23" s="16">
        <f>($D$6*4+2*'AA Exact Masses'!$Q$2+3*'AA Exact Masses'!$Q$3)/5</f>
        <v>1854.371744</v>
      </c>
      <c r="O23" s="10" t="s">
        <v>484</v>
      </c>
      <c r="Q23" s="17">
        <f>($F$6+2*'AA Exact Masses'!$Q$2+3*'AA Exact Masses'!$Q$3)/5</f>
        <v>391.78418999999997</v>
      </c>
      <c r="R23" s="10" t="s">
        <v>354</v>
      </c>
      <c r="S23" s="17">
        <f>($F$6*2+2*'AA Exact Masses'!$Q$2+3*'AA Exact Masses'!$Q$3)/5</f>
        <v>769.37137199999995</v>
      </c>
      <c r="T23" s="10" t="s">
        <v>439</v>
      </c>
      <c r="U23" s="17">
        <f>($F$6*3+2*'AA Exact Masses'!$Q$2+3*'AA Exact Masses'!$Q$3)/5</f>
        <v>1146.9585539999998</v>
      </c>
      <c r="V23" s="10" t="s">
        <v>462</v>
      </c>
      <c r="W23" s="17">
        <f>($F$6*4+2*'AA Exact Masses'!$Q$2+3*'AA Exact Masses'!$Q$3)/5</f>
        <v>1524.5457359999998</v>
      </c>
      <c r="X23" s="10" t="s">
        <v>484</v>
      </c>
      <c r="Z23" s="25">
        <f>IF('Mass Ion Calculations'!$D$6="No",IF('Mass Ion Calculations'!$D$7="Yes", TRUNC(Aggregate!H23,0),TRUNC(Aggregate!Q23,0)),IF('Mass Ion Calculations'!$D$7="Yes",TRUNC(Aggregate!H50,0),TRUNC(Aggregate!Q50,0)))</f>
        <v>388</v>
      </c>
      <c r="AA23" s="10" t="s">
        <v>354</v>
      </c>
      <c r="AB23" s="10" t="s">
        <v>94</v>
      </c>
      <c r="AC23" s="25">
        <f>IF('Mass Ion Calculations'!$D$6="No",IF('Mass Ion Calculations'!$D$7="Yes", TRUNC(Aggregate!J23,0),TRUNC(Aggregate!S23,0)),IF('Mass Ion Calculations'!$D$7="Yes",TRUNC(Aggregate!J50,0),TRUNC(Aggregate!S50,0)))</f>
        <v>762</v>
      </c>
      <c r="AD23" s="10" t="s">
        <v>439</v>
      </c>
      <c r="AE23" s="10" t="s">
        <v>91</v>
      </c>
      <c r="AF23" s="25">
        <f>IF('Mass Ion Calculations'!$D$6="No",IF('Mass Ion Calculations'!$D$7="Yes", TRUNC(Aggregate!L23,0),TRUNC(Aggregate!U23,0)),IF('Mass Ion Calculations'!$D$7="Yes",TRUNC(Aggregate!L50,0),TRUNC(Aggregate!U50,0)))</f>
        <v>1136</v>
      </c>
      <c r="AG23" s="10" t="s">
        <v>462</v>
      </c>
      <c r="AH23" s="10" t="s">
        <v>92</v>
      </c>
      <c r="AI23" s="25">
        <f>IF('Mass Ion Calculations'!$D$6="No",IF('Mass Ion Calculations'!$D$7="Yes", TRUNC(Aggregate!N23,0),TRUNC(Aggregate!W23,0)),IF('Mass Ion Calculations'!$D$7="Yes",TRUNC(Aggregate!N50,0),TRUNC(Aggregate!W50,0)))</f>
        <v>1510</v>
      </c>
      <c r="AJ23" s="10" t="s">
        <v>484</v>
      </c>
      <c r="AK23" s="10" t="s">
        <v>93</v>
      </c>
      <c r="AM23" s="17">
        <f t="shared" si="0"/>
        <v>391</v>
      </c>
      <c r="AN23" s="10" t="s">
        <v>354</v>
      </c>
      <c r="AO23" s="17">
        <f t="shared" si="1"/>
        <v>769</v>
      </c>
      <c r="AP23" s="10" t="s">
        <v>439</v>
      </c>
      <c r="AQ23" s="17">
        <f t="shared" si="2"/>
        <v>1146</v>
      </c>
      <c r="AR23" s="10" t="s">
        <v>462</v>
      </c>
      <c r="AS23" s="17">
        <f t="shared" si="3"/>
        <v>1524</v>
      </c>
      <c r="AT23" s="10" t="s">
        <v>484</v>
      </c>
    </row>
    <row r="24" spans="7:46" x14ac:dyDescent="0.25">
      <c r="H24" s="16">
        <f>($D$6+'AA Exact Masses'!$Q$2+4*'AA Exact Masses'!$Q$3)/5</f>
        <v>478.63708799999995</v>
      </c>
      <c r="I24" s="10" t="s">
        <v>361</v>
      </c>
      <c r="J24" s="16">
        <f>($D$6*2+'AA Exact Masses'!$Q$2+4*'AA Exact Masses'!$Q$3)/5</f>
        <v>938.68077200000005</v>
      </c>
      <c r="K24" s="10" t="s">
        <v>440</v>
      </c>
      <c r="L24" s="16">
        <f>($D$6*3+'AA Exact Masses'!$Q$2+4*'AA Exact Masses'!$Q$3)/5</f>
        <v>1398.7244560000001</v>
      </c>
      <c r="M24" s="10" t="s">
        <v>463</v>
      </c>
      <c r="N24" s="16">
        <f>($D$6*4+'AA Exact Masses'!$Q$2+4*'AA Exact Masses'!$Q$3)/5</f>
        <v>1858.7681400000001</v>
      </c>
      <c r="O24" s="10" t="s">
        <v>485</v>
      </c>
      <c r="Q24" s="17">
        <f>($F$6+'AA Exact Masses'!$Q$2+4*'AA Exact Masses'!$Q$3)/5</f>
        <v>396.18058600000001</v>
      </c>
      <c r="R24" s="10" t="s">
        <v>361</v>
      </c>
      <c r="S24" s="17">
        <f>($F$6*2+'AA Exact Masses'!$Q$2+4*'AA Exact Masses'!$Q$3)/5</f>
        <v>773.76776799999993</v>
      </c>
      <c r="T24" s="10" t="s">
        <v>440</v>
      </c>
      <c r="U24" s="17">
        <f>($F$6*3+'AA Exact Masses'!$Q$2+4*'AA Exact Masses'!$Q$3)/5</f>
        <v>1151.3549499999999</v>
      </c>
      <c r="V24" s="10" t="s">
        <v>463</v>
      </c>
      <c r="W24" s="17">
        <f>($F$6*4+'AA Exact Masses'!$Q$2+4*'AA Exact Masses'!$Q$3)/5</f>
        <v>1528.9421319999999</v>
      </c>
      <c r="X24" s="10" t="s">
        <v>485</v>
      </c>
      <c r="Z24" s="25">
        <f>IF('Mass Ion Calculations'!$D$6="No",IF('Mass Ion Calculations'!$D$7="Yes", TRUNC(Aggregate!H24,0),TRUNC(Aggregate!Q24,0)),IF('Mass Ion Calculations'!$D$7="Yes",TRUNC(Aggregate!H51,0),TRUNC(Aggregate!Q51,0)))</f>
        <v>392</v>
      </c>
      <c r="AA24" s="10" t="s">
        <v>361</v>
      </c>
      <c r="AB24" s="10" t="s">
        <v>94</v>
      </c>
      <c r="AC24" s="25">
        <f>IF('Mass Ion Calculations'!$D$6="No",IF('Mass Ion Calculations'!$D$7="Yes", TRUNC(Aggregate!J24,0),TRUNC(Aggregate!S24,0)),IF('Mass Ion Calculations'!$D$7="Yes",TRUNC(Aggregate!J51,0),TRUNC(Aggregate!S51,0)))</f>
        <v>766</v>
      </c>
      <c r="AD24" s="10" t="s">
        <v>440</v>
      </c>
      <c r="AE24" s="10" t="s">
        <v>91</v>
      </c>
      <c r="AF24" s="25">
        <f>IF('Mass Ion Calculations'!$D$6="No",IF('Mass Ion Calculations'!$D$7="Yes", TRUNC(Aggregate!L24,0),TRUNC(Aggregate!U24,0)),IF('Mass Ion Calculations'!$D$7="Yes",TRUNC(Aggregate!L51,0),TRUNC(Aggregate!U51,0)))</f>
        <v>1140</v>
      </c>
      <c r="AG24" s="10" t="s">
        <v>463</v>
      </c>
      <c r="AH24" s="10" t="s">
        <v>92</v>
      </c>
      <c r="AI24" s="25">
        <f>IF('Mass Ion Calculations'!$D$6="No",IF('Mass Ion Calculations'!$D$7="Yes", TRUNC(Aggregate!N24,0),TRUNC(Aggregate!W24,0)),IF('Mass Ion Calculations'!$D$7="Yes",TRUNC(Aggregate!N51,0),TRUNC(Aggregate!W51,0)))</f>
        <v>1514</v>
      </c>
      <c r="AJ24" s="10" t="s">
        <v>485</v>
      </c>
      <c r="AK24" s="10" t="s">
        <v>93</v>
      </c>
      <c r="AM24" s="17">
        <f t="shared" si="0"/>
        <v>396</v>
      </c>
      <c r="AN24" s="10" t="s">
        <v>361</v>
      </c>
      <c r="AO24" s="17">
        <f t="shared" si="1"/>
        <v>773</v>
      </c>
      <c r="AP24" s="10" t="s">
        <v>440</v>
      </c>
      <c r="AQ24" s="17">
        <f t="shared" si="2"/>
        <v>1151</v>
      </c>
      <c r="AR24" s="10" t="s">
        <v>463</v>
      </c>
      <c r="AS24" s="17">
        <f t="shared" si="3"/>
        <v>1528</v>
      </c>
      <c r="AT24" s="10" t="s">
        <v>485</v>
      </c>
    </row>
    <row r="25" spans="7:46" x14ac:dyDescent="0.25">
      <c r="H25" s="16">
        <f>($D$6+5*'AA Exact Masses'!$Q$3)/5</f>
        <v>483.03348400000004</v>
      </c>
      <c r="I25" s="10" t="s">
        <v>356</v>
      </c>
      <c r="J25" s="16">
        <f>($D$6*2+5*'AA Exact Masses'!$Q$3)/5</f>
        <v>943.07716800000003</v>
      </c>
      <c r="K25" s="10" t="s">
        <v>441</v>
      </c>
      <c r="L25" s="16">
        <f>($D$6*3+5*'AA Exact Masses'!$Q$3)/5</f>
        <v>1403.120852</v>
      </c>
      <c r="M25" s="10" t="s">
        <v>464</v>
      </c>
      <c r="N25" s="16">
        <f>($D$6*4+5*'AA Exact Masses'!$Q$3)/5</f>
        <v>1863.1645360000002</v>
      </c>
      <c r="O25" s="10" t="s">
        <v>486</v>
      </c>
      <c r="Q25" s="17">
        <f>($F$6+5*'AA Exact Masses'!$Q$3)/5</f>
        <v>400.57698199999999</v>
      </c>
      <c r="R25" s="10" t="s">
        <v>356</v>
      </c>
      <c r="S25" s="17">
        <f>($F$6*2+5*'AA Exact Masses'!$Q$3)/5</f>
        <v>778.16416400000003</v>
      </c>
      <c r="T25" s="10" t="s">
        <v>441</v>
      </c>
      <c r="U25" s="17">
        <f>($F$6*3+5*'AA Exact Masses'!$Q$3)/5</f>
        <v>1155.7513459999998</v>
      </c>
      <c r="V25" s="10" t="s">
        <v>464</v>
      </c>
      <c r="W25" s="17">
        <f>($F$6*4+5*'AA Exact Masses'!$Q$3)/5</f>
        <v>1533.3385279999998</v>
      </c>
      <c r="X25" s="10" t="s">
        <v>486</v>
      </c>
      <c r="Z25" s="25">
        <f>IF('Mass Ion Calculations'!$D$6="No",IF('Mass Ion Calculations'!$D$7="Yes", TRUNC(Aggregate!H25,0),TRUNC(Aggregate!Q25,0)),IF('Mass Ion Calculations'!$D$7="Yes",TRUNC(Aggregate!H52,0),TRUNC(Aggregate!Q52,0)))</f>
        <v>396</v>
      </c>
      <c r="AA25" s="10" t="s">
        <v>356</v>
      </c>
      <c r="AB25" s="10" t="s">
        <v>94</v>
      </c>
      <c r="AC25" s="25">
        <f>IF('Mass Ion Calculations'!$D$6="No",IF('Mass Ion Calculations'!$D$7="Yes", TRUNC(Aggregate!J25,0),TRUNC(Aggregate!S25,0)),IF('Mass Ion Calculations'!$D$7="Yes",TRUNC(Aggregate!J52,0),TRUNC(Aggregate!S52,0)))</f>
        <v>770</v>
      </c>
      <c r="AD25" s="10" t="s">
        <v>441</v>
      </c>
      <c r="AE25" s="10" t="s">
        <v>91</v>
      </c>
      <c r="AF25" s="25">
        <f>IF('Mass Ion Calculations'!$D$6="No",IF('Mass Ion Calculations'!$D$7="Yes", TRUNC(Aggregate!L25,0),TRUNC(Aggregate!U25,0)),IF('Mass Ion Calculations'!$D$7="Yes",TRUNC(Aggregate!L52,0),TRUNC(Aggregate!U52,0)))</f>
        <v>1144</v>
      </c>
      <c r="AG25" s="10" t="s">
        <v>464</v>
      </c>
      <c r="AH25" s="10" t="s">
        <v>92</v>
      </c>
      <c r="AI25" s="25">
        <f>IF('Mass Ion Calculations'!$D$6="No",IF('Mass Ion Calculations'!$D$7="Yes", TRUNC(Aggregate!N25,0),TRUNC(Aggregate!W25,0)),IF('Mass Ion Calculations'!$D$7="Yes",TRUNC(Aggregate!N52,0),TRUNC(Aggregate!W52,0)))</f>
        <v>1518</v>
      </c>
      <c r="AJ25" s="10" t="s">
        <v>486</v>
      </c>
      <c r="AK25" s="10" t="s">
        <v>93</v>
      </c>
      <c r="AM25" s="17">
        <f t="shared" si="0"/>
        <v>400</v>
      </c>
      <c r="AN25" s="10" t="s">
        <v>356</v>
      </c>
      <c r="AO25" s="17">
        <f t="shared" si="1"/>
        <v>778</v>
      </c>
      <c r="AP25" s="10" t="s">
        <v>441</v>
      </c>
      <c r="AQ25" s="17">
        <f t="shared" si="2"/>
        <v>1155</v>
      </c>
      <c r="AR25" s="10" t="s">
        <v>464</v>
      </c>
      <c r="AS25" s="17">
        <f t="shared" si="3"/>
        <v>1533</v>
      </c>
      <c r="AT25" s="10" t="s">
        <v>486</v>
      </c>
    </row>
    <row r="26" spans="7:46" x14ac:dyDescent="0.25">
      <c r="H26" s="14" t="s">
        <v>28</v>
      </c>
      <c r="J26" s="14" t="s">
        <v>28</v>
      </c>
      <c r="L26" s="14" t="s">
        <v>28</v>
      </c>
      <c r="N26" s="14" t="s">
        <v>28</v>
      </c>
      <c r="Q26" s="14" t="s">
        <v>29</v>
      </c>
      <c r="S26" s="14" t="s">
        <v>29</v>
      </c>
      <c r="U26" s="14" t="s">
        <v>29</v>
      </c>
      <c r="W26" s="14" t="s">
        <v>29</v>
      </c>
      <c r="Z26" s="14"/>
      <c r="AC26" s="14" t="s">
        <v>91</v>
      </c>
      <c r="AF26" s="14" t="s">
        <v>92</v>
      </c>
      <c r="AI26" s="14" t="s">
        <v>93</v>
      </c>
      <c r="AM26" s="14" t="s">
        <v>82</v>
      </c>
      <c r="AO26" s="14" t="s">
        <v>91</v>
      </c>
      <c r="AQ26" s="14" t="s">
        <v>92</v>
      </c>
      <c r="AS26" s="14" t="s">
        <v>93</v>
      </c>
    </row>
    <row r="28" spans="7:46" x14ac:dyDescent="0.25">
      <c r="G28" t="s">
        <v>106</v>
      </c>
      <c r="Q28" t="s">
        <v>29</v>
      </c>
    </row>
    <row r="29" spans="7:46" x14ac:dyDescent="0.25">
      <c r="J29" t="s">
        <v>85</v>
      </c>
      <c r="L29" t="s">
        <v>86</v>
      </c>
      <c r="N29" t="s">
        <v>87</v>
      </c>
      <c r="Q29" t="s">
        <v>89</v>
      </c>
      <c r="S29" t="s">
        <v>85</v>
      </c>
      <c r="U29" t="s">
        <v>86</v>
      </c>
      <c r="W29" t="s">
        <v>88</v>
      </c>
      <c r="Z29" t="s">
        <v>105</v>
      </c>
      <c r="AC29" t="s">
        <v>85</v>
      </c>
      <c r="AF29" t="s">
        <v>86</v>
      </c>
      <c r="AI29" t="s">
        <v>87</v>
      </c>
      <c r="AM29" t="s">
        <v>89</v>
      </c>
      <c r="AO29" t="s">
        <v>85</v>
      </c>
      <c r="AQ29" t="s">
        <v>86</v>
      </c>
      <c r="AS29" t="s">
        <v>88</v>
      </c>
    </row>
    <row r="30" spans="7:46" x14ac:dyDescent="0.25">
      <c r="H30" s="16">
        <f>IF('Mass Ion Calculations'!H6="Yes", H3-18.01056*2,H3-18.01056)</f>
        <v>2283.2156799999998</v>
      </c>
      <c r="I30" s="10" t="s">
        <v>332</v>
      </c>
      <c r="J30" s="16">
        <f>J3-18.01056</f>
        <v>4583.4341000000004</v>
      </c>
      <c r="K30" s="10" t="s">
        <v>419</v>
      </c>
      <c r="L30" s="16">
        <f>L3-18.01056</f>
        <v>6883.6525200000005</v>
      </c>
      <c r="M30" s="10" t="s">
        <v>442</v>
      </c>
      <c r="N30" s="16">
        <f>N3-18.01056</f>
        <v>9183.8709400000007</v>
      </c>
      <c r="O30" s="10" t="s">
        <v>332</v>
      </c>
      <c r="Q30" s="17">
        <f>IF('Mass Ion Calculations'!H6="Yes", Q3-18.01056*2,Q3-18.01056)</f>
        <v>1870.93317</v>
      </c>
      <c r="R30" s="10" t="s">
        <v>332</v>
      </c>
      <c r="S30" s="17">
        <f>S3-(18.01056*2)</f>
        <v>3740.8585199999998</v>
      </c>
      <c r="T30" s="10" t="s">
        <v>419</v>
      </c>
      <c r="U30" s="17">
        <f>U3-18.01056*3</f>
        <v>5610.7838699999993</v>
      </c>
      <c r="V30" s="10" t="s">
        <v>442</v>
      </c>
      <c r="W30" s="17">
        <f>W3-18.01056*4</f>
        <v>7480.7092199999997</v>
      </c>
      <c r="X30" s="10" t="s">
        <v>465</v>
      </c>
      <c r="Z30" s="16">
        <f>TRUNC(Z3-18,0)</f>
        <v>1852</v>
      </c>
      <c r="AA30" s="10" t="s">
        <v>332</v>
      </c>
      <c r="AB30" s="10"/>
      <c r="AC30" s="16">
        <f>TRUNC(AC3-18,0)</f>
        <v>3722</v>
      </c>
      <c r="AD30" s="10" t="s">
        <v>419</v>
      </c>
      <c r="AE30" s="10"/>
      <c r="AF30" s="16">
        <f>TRUNC(AF3-18,0)</f>
        <v>5592</v>
      </c>
      <c r="AG30" s="10" t="s">
        <v>442</v>
      </c>
      <c r="AH30" s="10"/>
      <c r="AI30" s="16">
        <f>TRUNC(AI3-18,0)</f>
        <v>7462</v>
      </c>
      <c r="AJ30" s="10" t="s">
        <v>465</v>
      </c>
      <c r="AK30" s="10"/>
      <c r="AM30" s="17">
        <f>TRUNC(AM3-18,0)</f>
        <v>1870</v>
      </c>
      <c r="AN30" s="10" t="s">
        <v>332</v>
      </c>
      <c r="AO30" s="17">
        <f>TRUNC(AO3-18,0)</f>
        <v>3758</v>
      </c>
      <c r="AP30" s="10" t="s">
        <v>419</v>
      </c>
      <c r="AQ30" s="17">
        <f>TRUNC(AQ3-18,0)</f>
        <v>5646</v>
      </c>
      <c r="AR30" s="10" t="s">
        <v>442</v>
      </c>
      <c r="AS30" s="17">
        <f>TRUNC(AS3-18,0)</f>
        <v>7534</v>
      </c>
      <c r="AT30" s="10" t="s">
        <v>465</v>
      </c>
    </row>
    <row r="31" spans="7:46" x14ac:dyDescent="0.25">
      <c r="H31" s="16">
        <f t="shared" ref="H31:H32" si="4">H4-18.01056</f>
        <v>2305.1976599999998</v>
      </c>
      <c r="I31" s="10" t="s">
        <v>333</v>
      </c>
      <c r="J31" s="16">
        <f t="shared" ref="J31:J32" si="5">J4-18.01056</f>
        <v>4605.4160800000009</v>
      </c>
      <c r="K31" s="10" t="s">
        <v>420</v>
      </c>
      <c r="L31" s="16">
        <f t="shared" ref="L31:L32" si="6">L4-18.01056</f>
        <v>6905.634500000001</v>
      </c>
      <c r="M31" s="10" t="s">
        <v>443</v>
      </c>
      <c r="N31" s="16">
        <f t="shared" ref="N31:N32" si="7">N4-18.01056</f>
        <v>9205.8529199999994</v>
      </c>
      <c r="O31" s="10" t="s">
        <v>333</v>
      </c>
      <c r="Q31" s="17">
        <f>Q4-18.01056</f>
        <v>1892.91515</v>
      </c>
      <c r="R31" s="10" t="s">
        <v>333</v>
      </c>
      <c r="S31" s="17">
        <f t="shared" ref="S31:S32" si="8">S4-(18.01056*2)</f>
        <v>3762.8404999999998</v>
      </c>
      <c r="T31" s="10" t="s">
        <v>420</v>
      </c>
      <c r="U31" s="17">
        <f t="shared" ref="U31:U32" si="9">U4-18.01056*3</f>
        <v>5632.7658499999998</v>
      </c>
      <c r="V31" s="10" t="s">
        <v>443</v>
      </c>
      <c r="W31" s="17">
        <f t="shared" ref="W31:W32" si="10">W4-18.01056*4</f>
        <v>7502.6912000000002</v>
      </c>
      <c r="X31" s="10" t="s">
        <v>466</v>
      </c>
      <c r="Z31" s="16">
        <f t="shared" ref="Z31:Z32" si="11">TRUNC(Z4-18,0)</f>
        <v>1874</v>
      </c>
      <c r="AA31" s="10" t="s">
        <v>333</v>
      </c>
      <c r="AB31" s="10"/>
      <c r="AC31" s="16">
        <f t="shared" ref="AC31:AC52" si="12">TRUNC(AC4-18,0)</f>
        <v>3744</v>
      </c>
      <c r="AD31" s="10" t="s">
        <v>420</v>
      </c>
      <c r="AE31" s="10"/>
      <c r="AF31" s="16">
        <f t="shared" ref="AF31:AF52" si="13">TRUNC(AF4-18,0)</f>
        <v>5614</v>
      </c>
      <c r="AG31" s="10" t="s">
        <v>443</v>
      </c>
      <c r="AH31" s="10"/>
      <c r="AI31" s="16">
        <f t="shared" ref="AI31:AI52" si="14">TRUNC(AI4-18,0)</f>
        <v>7484</v>
      </c>
      <c r="AJ31" s="10" t="s">
        <v>466</v>
      </c>
      <c r="AK31" s="10"/>
      <c r="AM31" s="17">
        <f t="shared" ref="AM31:AM32" si="15">TRUNC(AM4-18,0)</f>
        <v>1892</v>
      </c>
      <c r="AN31" s="10" t="s">
        <v>333</v>
      </c>
      <c r="AO31" s="17">
        <f t="shared" ref="AO31:AO46" si="16">TRUNC(AO4-18,0)</f>
        <v>3780</v>
      </c>
      <c r="AP31" s="10" t="s">
        <v>420</v>
      </c>
      <c r="AQ31" s="17">
        <f t="shared" ref="AQ31:AQ52" si="17">TRUNC(AQ4-18,0)</f>
        <v>5668</v>
      </c>
      <c r="AR31" s="10" t="s">
        <v>443</v>
      </c>
      <c r="AS31" s="17">
        <f t="shared" ref="AS31:AS52" si="18">TRUNC(AS4-18,0)</f>
        <v>7556</v>
      </c>
      <c r="AT31" s="10" t="s">
        <v>466</v>
      </c>
    </row>
    <row r="32" spans="7:46" x14ac:dyDescent="0.25">
      <c r="H32" s="16">
        <f t="shared" si="4"/>
        <v>2321.17157</v>
      </c>
      <c r="I32" s="10" t="s">
        <v>334</v>
      </c>
      <c r="J32" s="16">
        <f t="shared" si="5"/>
        <v>4621.3899900000006</v>
      </c>
      <c r="K32" s="10" t="s">
        <v>421</v>
      </c>
      <c r="L32" s="16">
        <f t="shared" si="6"/>
        <v>6921.6084100000007</v>
      </c>
      <c r="M32" s="10" t="s">
        <v>444</v>
      </c>
      <c r="N32" s="16">
        <f t="shared" si="7"/>
        <v>9221.82683</v>
      </c>
      <c r="O32" s="10" t="s">
        <v>334</v>
      </c>
      <c r="Q32" s="17">
        <f t="shared" ref="Q32" si="19">Q5-18.01056</f>
        <v>1908.88906</v>
      </c>
      <c r="R32" s="10" t="s">
        <v>334</v>
      </c>
      <c r="S32" s="17">
        <f t="shared" si="8"/>
        <v>3778.81441</v>
      </c>
      <c r="T32" s="10" t="s">
        <v>421</v>
      </c>
      <c r="U32" s="17">
        <f t="shared" si="9"/>
        <v>5648.7397599999995</v>
      </c>
      <c r="V32" s="10" t="s">
        <v>444</v>
      </c>
      <c r="W32" s="17">
        <f t="shared" si="10"/>
        <v>7518.6651099999999</v>
      </c>
      <c r="X32" s="10" t="s">
        <v>467</v>
      </c>
      <c r="Z32" s="16">
        <f t="shared" si="11"/>
        <v>1890</v>
      </c>
      <c r="AA32" s="10" t="s">
        <v>334</v>
      </c>
      <c r="AB32" s="10"/>
      <c r="AC32" s="16">
        <f t="shared" si="12"/>
        <v>3760</v>
      </c>
      <c r="AD32" s="10" t="s">
        <v>421</v>
      </c>
      <c r="AE32" s="10"/>
      <c r="AF32" s="16">
        <f t="shared" si="13"/>
        <v>5630</v>
      </c>
      <c r="AG32" s="10" t="s">
        <v>444</v>
      </c>
      <c r="AH32" s="10"/>
      <c r="AI32" s="16">
        <f t="shared" si="14"/>
        <v>7500</v>
      </c>
      <c r="AJ32" s="10" t="s">
        <v>467</v>
      </c>
      <c r="AK32" s="10"/>
      <c r="AM32" s="17">
        <f t="shared" si="15"/>
        <v>1908</v>
      </c>
      <c r="AN32" s="10" t="s">
        <v>334</v>
      </c>
      <c r="AO32" s="17">
        <f t="shared" si="16"/>
        <v>3796</v>
      </c>
      <c r="AP32" s="10" t="s">
        <v>421</v>
      </c>
      <c r="AQ32" s="17">
        <f t="shared" si="17"/>
        <v>5684</v>
      </c>
      <c r="AR32" s="10" t="s">
        <v>444</v>
      </c>
      <c r="AS32" s="17">
        <f t="shared" si="18"/>
        <v>7572</v>
      </c>
      <c r="AT32" s="10" t="s">
        <v>467</v>
      </c>
    </row>
    <row r="33" spans="8:46" x14ac:dyDescent="0.25">
      <c r="H33" s="16">
        <f>H6-(18.01056/2)</f>
        <v>1142.11175</v>
      </c>
      <c r="I33" s="10" t="s">
        <v>330</v>
      </c>
      <c r="J33" s="16">
        <f>J6-(18.01056/2)</f>
        <v>2292.2209600000001</v>
      </c>
      <c r="K33" s="10" t="s">
        <v>422</v>
      </c>
      <c r="L33" s="16">
        <f>L6-(18.01056)/2</f>
        <v>3442.3301700000002</v>
      </c>
      <c r="M33" s="10" t="s">
        <v>445</v>
      </c>
      <c r="N33" s="16">
        <f t="shared" ref="N33" si="20">N6-(18.01056)/2</f>
        <v>4592.4393799999998</v>
      </c>
      <c r="O33" s="10" t="s">
        <v>330</v>
      </c>
      <c r="Q33" s="17">
        <f>Q6-(18.01056/2)</f>
        <v>935.97049500000003</v>
      </c>
      <c r="R33" s="10" t="s">
        <v>330</v>
      </c>
      <c r="S33" s="17">
        <f>S6-(18.01056*2/2)</f>
        <v>1870.93317</v>
      </c>
      <c r="T33" s="10" t="s">
        <v>422</v>
      </c>
      <c r="U33" s="17">
        <f>U6-(18.01056*3/2)</f>
        <v>2805.8958449999996</v>
      </c>
      <c r="V33" s="10" t="s">
        <v>445</v>
      </c>
      <c r="W33" s="17">
        <f>W6-(18.01056*4/2)</f>
        <v>3740.8585199999998</v>
      </c>
      <c r="X33" s="10" t="s">
        <v>468</v>
      </c>
      <c r="Z33" s="16">
        <f>TRUNC(Z6-(18/2),0)</f>
        <v>926</v>
      </c>
      <c r="AA33" s="10" t="s">
        <v>330</v>
      </c>
      <c r="AB33" s="10"/>
      <c r="AC33" s="16">
        <f t="shared" si="12"/>
        <v>1852</v>
      </c>
      <c r="AD33" s="10" t="s">
        <v>422</v>
      </c>
      <c r="AE33" s="10"/>
      <c r="AF33" s="16">
        <f t="shared" si="13"/>
        <v>2787</v>
      </c>
      <c r="AG33" s="10" t="s">
        <v>445</v>
      </c>
      <c r="AH33" s="10"/>
      <c r="AI33" s="16">
        <f t="shared" si="14"/>
        <v>3722</v>
      </c>
      <c r="AJ33" s="10" t="s">
        <v>468</v>
      </c>
      <c r="AK33" s="10"/>
      <c r="AM33" s="17">
        <f>TRUNC(AM6-(18/2),0)</f>
        <v>935</v>
      </c>
      <c r="AN33" s="10" t="s">
        <v>330</v>
      </c>
      <c r="AO33" s="17">
        <f>TRUNC(AO6-(18/2),0)</f>
        <v>1879</v>
      </c>
      <c r="AP33" s="10" t="s">
        <v>422</v>
      </c>
      <c r="AQ33" s="17">
        <f t="shared" si="17"/>
        <v>2814</v>
      </c>
      <c r="AR33" s="10" t="s">
        <v>445</v>
      </c>
      <c r="AS33" s="17">
        <f t="shared" si="18"/>
        <v>3758</v>
      </c>
      <c r="AT33" s="10" t="s">
        <v>468</v>
      </c>
    </row>
    <row r="34" spans="8:46" x14ac:dyDescent="0.25">
      <c r="H34" s="16">
        <f t="shared" ref="H34:H38" si="21">H7-(18.01056/2)</f>
        <v>1164.0937300000001</v>
      </c>
      <c r="I34" s="10" t="s">
        <v>331</v>
      </c>
      <c r="J34" s="16">
        <f t="shared" ref="J34:J38" si="22">J7-(18.01056/2)</f>
        <v>2314.2029400000001</v>
      </c>
      <c r="K34" s="10" t="s">
        <v>423</v>
      </c>
      <c r="L34" s="16">
        <f t="shared" ref="L34:L38" si="23">L7-(18.01056)/2</f>
        <v>3464.3121500000002</v>
      </c>
      <c r="M34" s="10" t="s">
        <v>446</v>
      </c>
      <c r="N34" s="16">
        <f t="shared" ref="N34" si="24">N7-(18.01056)/2</f>
        <v>4614.4213600000003</v>
      </c>
      <c r="O34" s="10" t="s">
        <v>331</v>
      </c>
      <c r="Q34" s="17">
        <f t="shared" ref="Q34:Q38" si="25">Q7-(18.01056/2)</f>
        <v>957.95247499999994</v>
      </c>
      <c r="R34" s="10" t="s">
        <v>331</v>
      </c>
      <c r="S34" s="17">
        <f t="shared" ref="S34:S38" si="26">S7-(18.01056*2/2)</f>
        <v>1892.91515</v>
      </c>
      <c r="T34" s="10" t="s">
        <v>423</v>
      </c>
      <c r="U34" s="17">
        <f t="shared" ref="U34:U38" si="27">U7-(18.01056*3/2)</f>
        <v>2827.8778249999996</v>
      </c>
      <c r="V34" s="10" t="s">
        <v>446</v>
      </c>
      <c r="W34" s="17">
        <f t="shared" ref="W34:W38" si="28">W7-(18.01056*4/2)</f>
        <v>3762.8404999999998</v>
      </c>
      <c r="X34" s="10" t="s">
        <v>331</v>
      </c>
      <c r="Z34" s="16">
        <f t="shared" ref="Z34:Z38" si="29">TRUNC(Z7-(18/2),0)</f>
        <v>948</v>
      </c>
      <c r="AA34" s="10" t="s">
        <v>331</v>
      </c>
      <c r="AB34" s="10"/>
      <c r="AC34" s="16">
        <f t="shared" si="12"/>
        <v>1874</v>
      </c>
      <c r="AD34" s="10" t="s">
        <v>423</v>
      </c>
      <c r="AE34" s="10"/>
      <c r="AF34" s="16">
        <f t="shared" si="13"/>
        <v>2809</v>
      </c>
      <c r="AG34" s="10" t="s">
        <v>446</v>
      </c>
      <c r="AH34" s="10"/>
      <c r="AI34" s="16">
        <f t="shared" si="14"/>
        <v>3744</v>
      </c>
      <c r="AJ34" s="10" t="s">
        <v>331</v>
      </c>
      <c r="AK34" s="10"/>
      <c r="AM34" s="17">
        <f t="shared" ref="AM34:AM38" si="30">TRUNC(AM7-(18/2),0)</f>
        <v>957</v>
      </c>
      <c r="AN34" s="10" t="s">
        <v>331</v>
      </c>
      <c r="AO34" s="17">
        <f t="shared" ref="AO34:AO38" si="31">TRUNC(AO7-(18/2),0)</f>
        <v>1901</v>
      </c>
      <c r="AP34" s="10" t="s">
        <v>423</v>
      </c>
      <c r="AQ34" s="17">
        <f t="shared" si="17"/>
        <v>2836</v>
      </c>
      <c r="AR34" s="10" t="s">
        <v>446</v>
      </c>
      <c r="AS34" s="17">
        <f t="shared" si="18"/>
        <v>3780</v>
      </c>
      <c r="AT34" s="10" t="s">
        <v>331</v>
      </c>
    </row>
    <row r="35" spans="8:46" x14ac:dyDescent="0.25">
      <c r="H35" s="16">
        <f t="shared" si="21"/>
        <v>1180.06764</v>
      </c>
      <c r="I35" s="10" t="s">
        <v>335</v>
      </c>
      <c r="J35" s="16">
        <f t="shared" si="22"/>
        <v>2330.1768500000003</v>
      </c>
      <c r="K35" s="10" t="s">
        <v>424</v>
      </c>
      <c r="L35" s="16">
        <f t="shared" si="23"/>
        <v>3480.2860600000004</v>
      </c>
      <c r="M35" s="10" t="s">
        <v>447</v>
      </c>
      <c r="N35" s="16">
        <f t="shared" ref="N35" si="32">N8-(18.01056)/2</f>
        <v>4630.39527</v>
      </c>
      <c r="O35" s="10" t="s">
        <v>335</v>
      </c>
      <c r="Q35" s="17">
        <f t="shared" si="25"/>
        <v>973.92638499999998</v>
      </c>
      <c r="R35" s="10" t="s">
        <v>335</v>
      </c>
      <c r="S35" s="17">
        <f t="shared" si="26"/>
        <v>1908.88906</v>
      </c>
      <c r="T35" s="10" t="s">
        <v>424</v>
      </c>
      <c r="U35" s="17">
        <f t="shared" si="27"/>
        <v>2843.8517349999997</v>
      </c>
      <c r="V35" s="10" t="s">
        <v>447</v>
      </c>
      <c r="W35" s="17">
        <f t="shared" si="28"/>
        <v>3778.81441</v>
      </c>
      <c r="X35" s="10" t="s">
        <v>469</v>
      </c>
      <c r="Z35" s="16">
        <f t="shared" si="29"/>
        <v>964</v>
      </c>
      <c r="AA35" s="10" t="s">
        <v>335</v>
      </c>
      <c r="AB35" s="10"/>
      <c r="AC35" s="16">
        <f t="shared" si="12"/>
        <v>1890</v>
      </c>
      <c r="AD35" s="10" t="s">
        <v>424</v>
      </c>
      <c r="AE35" s="10"/>
      <c r="AF35" s="16">
        <f t="shared" si="13"/>
        <v>2825</v>
      </c>
      <c r="AG35" s="10" t="s">
        <v>447</v>
      </c>
      <c r="AH35" s="10"/>
      <c r="AI35" s="16">
        <f t="shared" si="14"/>
        <v>3760</v>
      </c>
      <c r="AJ35" s="10" t="s">
        <v>469</v>
      </c>
      <c r="AK35" s="10"/>
      <c r="AM35" s="17">
        <f t="shared" si="30"/>
        <v>973</v>
      </c>
      <c r="AN35" s="10" t="s">
        <v>335</v>
      </c>
      <c r="AO35" s="17">
        <f t="shared" si="31"/>
        <v>1917</v>
      </c>
      <c r="AP35" s="10" t="s">
        <v>424</v>
      </c>
      <c r="AQ35" s="17">
        <f t="shared" si="17"/>
        <v>2852</v>
      </c>
      <c r="AR35" s="10" t="s">
        <v>447</v>
      </c>
      <c r="AS35" s="17">
        <f t="shared" si="18"/>
        <v>3796</v>
      </c>
      <c r="AT35" s="10" t="s">
        <v>469</v>
      </c>
    </row>
    <row r="36" spans="8:46" x14ac:dyDescent="0.25">
      <c r="H36" s="16">
        <f t="shared" si="21"/>
        <v>1153.1027399999998</v>
      </c>
      <c r="I36" s="10" t="s">
        <v>357</v>
      </c>
      <c r="J36" s="16">
        <f t="shared" si="22"/>
        <v>2303.2119500000003</v>
      </c>
      <c r="K36" s="10" t="s">
        <v>425</v>
      </c>
      <c r="L36" s="16">
        <f t="shared" si="23"/>
        <v>3453.3211600000004</v>
      </c>
      <c r="M36" s="10" t="s">
        <v>448</v>
      </c>
      <c r="N36" s="16">
        <f t="shared" ref="N36" si="33">N9-(18.01056)/2</f>
        <v>4603.43037</v>
      </c>
      <c r="O36" s="10" t="s">
        <v>357</v>
      </c>
      <c r="Q36" s="17">
        <f t="shared" si="25"/>
        <v>946.96148500000004</v>
      </c>
      <c r="R36" s="10" t="s">
        <v>357</v>
      </c>
      <c r="S36" s="17">
        <f t="shared" si="26"/>
        <v>1881.9241599999998</v>
      </c>
      <c r="T36" s="10" t="s">
        <v>425</v>
      </c>
      <c r="U36" s="17">
        <f t="shared" si="27"/>
        <v>2816.8868349999998</v>
      </c>
      <c r="V36" s="10" t="s">
        <v>448</v>
      </c>
      <c r="W36" s="17">
        <f t="shared" si="28"/>
        <v>3751.84951</v>
      </c>
      <c r="X36" s="10" t="s">
        <v>470</v>
      </c>
      <c r="Z36" s="16">
        <f t="shared" si="29"/>
        <v>937</v>
      </c>
      <c r="AA36" s="10" t="s">
        <v>357</v>
      </c>
      <c r="AB36" s="10"/>
      <c r="AC36" s="16">
        <f t="shared" si="12"/>
        <v>1863</v>
      </c>
      <c r="AD36" s="10" t="s">
        <v>425</v>
      </c>
      <c r="AE36" s="10"/>
      <c r="AF36" s="16">
        <f t="shared" si="13"/>
        <v>2798</v>
      </c>
      <c r="AG36" s="10" t="s">
        <v>448</v>
      </c>
      <c r="AH36" s="10"/>
      <c r="AI36" s="16">
        <f t="shared" si="14"/>
        <v>3733</v>
      </c>
      <c r="AJ36" s="10" t="s">
        <v>470</v>
      </c>
      <c r="AK36" s="10"/>
      <c r="AM36" s="17">
        <f t="shared" si="30"/>
        <v>946</v>
      </c>
      <c r="AN36" s="10" t="s">
        <v>357</v>
      </c>
      <c r="AO36" s="17">
        <f t="shared" si="31"/>
        <v>1890</v>
      </c>
      <c r="AP36" s="10" t="s">
        <v>425</v>
      </c>
      <c r="AQ36" s="17">
        <f t="shared" si="17"/>
        <v>2825</v>
      </c>
      <c r="AR36" s="10" t="s">
        <v>448</v>
      </c>
      <c r="AS36" s="17">
        <f t="shared" si="18"/>
        <v>3769</v>
      </c>
      <c r="AT36" s="10" t="s">
        <v>470</v>
      </c>
    </row>
    <row r="37" spans="8:46" x14ac:dyDescent="0.25">
      <c r="H37" s="16">
        <f t="shared" si="21"/>
        <v>1172.0806849999999</v>
      </c>
      <c r="I37" s="10" t="s">
        <v>336</v>
      </c>
      <c r="J37" s="16">
        <f t="shared" si="22"/>
        <v>2322.1898950000004</v>
      </c>
      <c r="K37" s="10" t="s">
        <v>426</v>
      </c>
      <c r="L37" s="16">
        <f t="shared" si="23"/>
        <v>3472.2991050000005</v>
      </c>
      <c r="M37" s="10" t="s">
        <v>449</v>
      </c>
      <c r="N37" s="16">
        <f t="shared" ref="N37" si="34">N10-(18.01056)/2</f>
        <v>4622.4083149999997</v>
      </c>
      <c r="O37" s="10" t="s">
        <v>336</v>
      </c>
      <c r="Q37" s="17">
        <f t="shared" si="25"/>
        <v>965.93943000000002</v>
      </c>
      <c r="R37" s="10" t="s">
        <v>336</v>
      </c>
      <c r="S37" s="17">
        <f t="shared" si="26"/>
        <v>1900.9021049999999</v>
      </c>
      <c r="T37" s="10" t="s">
        <v>426</v>
      </c>
      <c r="U37" s="17">
        <f t="shared" si="27"/>
        <v>2835.8647799999999</v>
      </c>
      <c r="V37" s="10" t="s">
        <v>449</v>
      </c>
      <c r="W37" s="17">
        <f t="shared" si="28"/>
        <v>3770.8274550000001</v>
      </c>
      <c r="X37" s="10" t="s">
        <v>471</v>
      </c>
      <c r="Z37" s="16">
        <f t="shared" si="29"/>
        <v>956</v>
      </c>
      <c r="AA37" s="10" t="s">
        <v>336</v>
      </c>
      <c r="AB37" s="10"/>
      <c r="AC37" s="16">
        <f t="shared" si="12"/>
        <v>1882</v>
      </c>
      <c r="AD37" s="10" t="s">
        <v>426</v>
      </c>
      <c r="AE37" s="10"/>
      <c r="AF37" s="16">
        <f t="shared" si="13"/>
        <v>2817</v>
      </c>
      <c r="AG37" s="10" t="s">
        <v>449</v>
      </c>
      <c r="AH37" s="10"/>
      <c r="AI37" s="16">
        <f t="shared" si="14"/>
        <v>3752</v>
      </c>
      <c r="AJ37" s="10" t="s">
        <v>471</v>
      </c>
      <c r="AK37" s="10"/>
      <c r="AM37" s="17">
        <f t="shared" si="30"/>
        <v>965</v>
      </c>
      <c r="AN37" s="10" t="s">
        <v>336</v>
      </c>
      <c r="AO37" s="17">
        <f t="shared" si="31"/>
        <v>1909</v>
      </c>
      <c r="AP37" s="10" t="s">
        <v>426</v>
      </c>
      <c r="AQ37" s="17">
        <f t="shared" si="17"/>
        <v>2844</v>
      </c>
      <c r="AR37" s="10" t="s">
        <v>449</v>
      </c>
      <c r="AS37" s="17">
        <f t="shared" si="18"/>
        <v>3788</v>
      </c>
      <c r="AT37" s="10" t="s">
        <v>471</v>
      </c>
    </row>
    <row r="38" spans="8:46" x14ac:dyDescent="0.25">
      <c r="H38" s="16">
        <f t="shared" si="21"/>
        <v>1161.0896949999999</v>
      </c>
      <c r="I38" s="10" t="s">
        <v>337</v>
      </c>
      <c r="J38" s="16">
        <f t="shared" si="22"/>
        <v>2311.1989050000002</v>
      </c>
      <c r="K38" s="10" t="s">
        <v>427</v>
      </c>
      <c r="L38" s="16">
        <f t="shared" si="23"/>
        <v>3461.3081150000003</v>
      </c>
      <c r="M38" s="10" t="s">
        <v>450</v>
      </c>
      <c r="N38" s="16">
        <f t="shared" ref="N38" si="35">N11-(18.01056)/2</f>
        <v>4611.4173250000003</v>
      </c>
      <c r="O38" s="10" t="s">
        <v>337</v>
      </c>
      <c r="Q38" s="17">
        <f t="shared" si="25"/>
        <v>954.94844000000001</v>
      </c>
      <c r="R38" s="10" t="s">
        <v>337</v>
      </c>
      <c r="S38" s="17">
        <f t="shared" si="26"/>
        <v>1889.9111149999999</v>
      </c>
      <c r="T38" s="10" t="s">
        <v>427</v>
      </c>
      <c r="U38" s="17">
        <f t="shared" si="27"/>
        <v>2824.8737899999996</v>
      </c>
      <c r="V38" s="10" t="s">
        <v>450</v>
      </c>
      <c r="W38" s="17">
        <f t="shared" si="28"/>
        <v>3759.8364649999999</v>
      </c>
      <c r="X38" s="10" t="s">
        <v>472</v>
      </c>
      <c r="Z38" s="16">
        <f t="shared" si="29"/>
        <v>945</v>
      </c>
      <c r="AA38" s="10" t="s">
        <v>337</v>
      </c>
      <c r="AB38" s="10"/>
      <c r="AC38" s="16">
        <f t="shared" si="12"/>
        <v>1871</v>
      </c>
      <c r="AD38" s="10" t="s">
        <v>427</v>
      </c>
      <c r="AE38" s="10"/>
      <c r="AF38" s="16">
        <f t="shared" si="13"/>
        <v>2806</v>
      </c>
      <c r="AG38" s="10" t="s">
        <v>450</v>
      </c>
      <c r="AH38" s="10"/>
      <c r="AI38" s="16">
        <f t="shared" si="14"/>
        <v>3741</v>
      </c>
      <c r="AJ38" s="10" t="s">
        <v>472</v>
      </c>
      <c r="AK38" s="10"/>
      <c r="AM38" s="17">
        <f t="shared" si="30"/>
        <v>954</v>
      </c>
      <c r="AN38" s="10" t="s">
        <v>337</v>
      </c>
      <c r="AO38" s="17">
        <f t="shared" si="31"/>
        <v>1898</v>
      </c>
      <c r="AP38" s="10" t="s">
        <v>427</v>
      </c>
      <c r="AQ38" s="17">
        <f t="shared" si="17"/>
        <v>2833</v>
      </c>
      <c r="AR38" s="10" t="s">
        <v>450</v>
      </c>
      <c r="AS38" s="17">
        <f t="shared" si="18"/>
        <v>3777</v>
      </c>
      <c r="AT38" s="10" t="s">
        <v>472</v>
      </c>
    </row>
    <row r="39" spans="8:46" x14ac:dyDescent="0.25">
      <c r="H39" s="16">
        <f>H12-(18.01056/3)</f>
        <v>761.74377333333337</v>
      </c>
      <c r="I39" s="10" t="s">
        <v>338</v>
      </c>
      <c r="J39" s="16">
        <f>J12-(18.01056/3)</f>
        <v>1528.4832466666669</v>
      </c>
      <c r="K39" s="10" t="s">
        <v>428</v>
      </c>
      <c r="L39" s="16">
        <f>L12-(18.01056/3)</f>
        <v>2295.2227200000002</v>
      </c>
      <c r="M39" s="10" t="s">
        <v>451</v>
      </c>
      <c r="N39" s="16">
        <f t="shared" ref="N39" si="36">N12-(18.01056/3)</f>
        <v>3061.9621933333333</v>
      </c>
      <c r="O39" s="10" t="s">
        <v>338</v>
      </c>
      <c r="Q39" s="17">
        <f>Q12-(18.01056/3)</f>
        <v>624.31627000000003</v>
      </c>
      <c r="R39" s="10" t="s">
        <v>338</v>
      </c>
      <c r="S39" s="17">
        <f>S12-(18.01056*2/3)</f>
        <v>1247.62472</v>
      </c>
      <c r="T39" s="10" t="s">
        <v>428</v>
      </c>
      <c r="U39" s="17">
        <f>U12-(18.01056*3/3)</f>
        <v>1870.93317</v>
      </c>
      <c r="V39" s="10" t="s">
        <v>451</v>
      </c>
      <c r="W39" s="17">
        <f>W12-(18.01056*4/3)</f>
        <v>2494.2416200000002</v>
      </c>
      <c r="X39" s="10" t="s">
        <v>473</v>
      </c>
      <c r="Z39" s="16">
        <f>TRUNC(Z12-(18/3),0)</f>
        <v>618</v>
      </c>
      <c r="AA39" s="10" t="s">
        <v>338</v>
      </c>
      <c r="AB39" s="10"/>
      <c r="AC39" s="16">
        <f t="shared" si="12"/>
        <v>1229</v>
      </c>
      <c r="AD39" s="10" t="s">
        <v>428</v>
      </c>
      <c r="AE39" s="10"/>
      <c r="AF39" s="16">
        <f t="shared" si="13"/>
        <v>1852</v>
      </c>
      <c r="AG39" s="10" t="s">
        <v>451</v>
      </c>
      <c r="AH39" s="10"/>
      <c r="AI39" s="16">
        <f t="shared" si="14"/>
        <v>2476</v>
      </c>
      <c r="AJ39" s="10" t="s">
        <v>473</v>
      </c>
      <c r="AK39" s="10"/>
      <c r="AM39" s="17">
        <f>TRUNC(AM12-(18/3),0)</f>
        <v>624</v>
      </c>
      <c r="AN39" s="10" t="s">
        <v>338</v>
      </c>
      <c r="AO39" s="17">
        <f t="shared" si="16"/>
        <v>1241</v>
      </c>
      <c r="AP39" s="10" t="s">
        <v>428</v>
      </c>
      <c r="AQ39" s="17">
        <f t="shared" si="17"/>
        <v>1870</v>
      </c>
      <c r="AR39" s="10" t="s">
        <v>451</v>
      </c>
      <c r="AS39" s="17">
        <f t="shared" si="18"/>
        <v>2500</v>
      </c>
      <c r="AT39" s="10" t="s">
        <v>473</v>
      </c>
    </row>
    <row r="40" spans="8:46" x14ac:dyDescent="0.25">
      <c r="H40" s="16">
        <f t="shared" ref="H40:H41" si="37">H13-(18.01056/3)</f>
        <v>776.39842666666675</v>
      </c>
      <c r="I40" s="10" t="s">
        <v>339</v>
      </c>
      <c r="J40" s="16">
        <f t="shared" ref="J40:J41" si="38">J13-(18.01056/3)</f>
        <v>1543.1378999999999</v>
      </c>
      <c r="K40" s="10" t="s">
        <v>429</v>
      </c>
      <c r="L40" s="16">
        <f t="shared" ref="L40:L41" si="39">L13-(18.01056/3)</f>
        <v>2309.8773733333333</v>
      </c>
      <c r="M40" s="10" t="s">
        <v>452</v>
      </c>
      <c r="N40" s="16">
        <f t="shared" ref="N40" si="40">N13-(18.01056/3)</f>
        <v>3076.6168466666672</v>
      </c>
      <c r="O40" s="10" t="s">
        <v>339</v>
      </c>
      <c r="Q40" s="17">
        <f t="shared" ref="Q40:Q41" si="41">Q13-(18.01056/3)</f>
        <v>638.9709233333333</v>
      </c>
      <c r="R40" s="10" t="s">
        <v>339</v>
      </c>
      <c r="S40" s="17">
        <f t="shared" ref="S40:S41" si="42">S13-(18.01056*2/3)</f>
        <v>1262.2793733333333</v>
      </c>
      <c r="T40" s="10" t="s">
        <v>429</v>
      </c>
      <c r="U40" s="17">
        <f t="shared" ref="U40:U41" si="43">U13-(18.01056*3/3)</f>
        <v>1885.5878233333331</v>
      </c>
      <c r="V40" s="10" t="s">
        <v>452</v>
      </c>
      <c r="W40" s="17">
        <f t="shared" ref="W40:W41" si="44">W13-(18.01056*4/3)</f>
        <v>2508.8962733333333</v>
      </c>
      <c r="X40" s="10" t="s">
        <v>474</v>
      </c>
      <c r="Z40" s="16">
        <f t="shared" ref="Z40:Z41" si="45">TRUNC(Z13-(18/3),0)</f>
        <v>632</v>
      </c>
      <c r="AA40" s="10" t="s">
        <v>339</v>
      </c>
      <c r="AB40" s="10"/>
      <c r="AC40" s="16">
        <f t="shared" si="12"/>
        <v>1244</v>
      </c>
      <c r="AD40" s="10" t="s">
        <v>429</v>
      </c>
      <c r="AE40" s="10"/>
      <c r="AF40" s="16">
        <f t="shared" si="13"/>
        <v>1867</v>
      </c>
      <c r="AG40" s="10" t="s">
        <v>452</v>
      </c>
      <c r="AH40" s="10"/>
      <c r="AI40" s="16">
        <f t="shared" si="14"/>
        <v>2490</v>
      </c>
      <c r="AJ40" s="10" t="s">
        <v>474</v>
      </c>
      <c r="AK40" s="10"/>
      <c r="AM40" s="17">
        <f t="shared" ref="AM40:AM41" si="46">TRUNC(AM13-(18/3),0)</f>
        <v>638</v>
      </c>
      <c r="AN40" s="10" t="s">
        <v>339</v>
      </c>
      <c r="AO40" s="17">
        <f t="shared" si="16"/>
        <v>1256</v>
      </c>
      <c r="AP40" s="10" t="s">
        <v>429</v>
      </c>
      <c r="AQ40" s="17">
        <f t="shared" si="17"/>
        <v>1885</v>
      </c>
      <c r="AR40" s="10" t="s">
        <v>452</v>
      </c>
      <c r="AS40" s="17">
        <f t="shared" si="18"/>
        <v>2514</v>
      </c>
      <c r="AT40" s="10" t="s">
        <v>474</v>
      </c>
    </row>
    <row r="41" spans="8:46" x14ac:dyDescent="0.25">
      <c r="H41" s="16">
        <f t="shared" si="37"/>
        <v>769.0711</v>
      </c>
      <c r="I41" s="10" t="s">
        <v>341</v>
      </c>
      <c r="J41" s="16">
        <f t="shared" si="38"/>
        <v>1535.8105733333334</v>
      </c>
      <c r="K41" s="10" t="s">
        <v>430</v>
      </c>
      <c r="L41" s="16">
        <f t="shared" si="39"/>
        <v>2302.5500466666667</v>
      </c>
      <c r="M41" s="10" t="s">
        <v>453</v>
      </c>
      <c r="N41" s="16">
        <f t="shared" ref="N41" si="47">N14-(18.01056/3)</f>
        <v>3069.2895199999998</v>
      </c>
      <c r="O41" s="10" t="s">
        <v>341</v>
      </c>
      <c r="Q41" s="17">
        <f t="shared" si="41"/>
        <v>631.64359666666667</v>
      </c>
      <c r="R41" s="10" t="s">
        <v>341</v>
      </c>
      <c r="S41" s="17">
        <f t="shared" si="42"/>
        <v>1254.9520466666665</v>
      </c>
      <c r="T41" s="10" t="s">
        <v>430</v>
      </c>
      <c r="U41" s="17">
        <f t="shared" si="43"/>
        <v>1878.2604966666665</v>
      </c>
      <c r="V41" s="10" t="s">
        <v>453</v>
      </c>
      <c r="W41" s="17">
        <f t="shared" si="44"/>
        <v>2501.5689466666668</v>
      </c>
      <c r="X41" s="10" t="s">
        <v>475</v>
      </c>
      <c r="Z41" s="16">
        <f t="shared" si="45"/>
        <v>625</v>
      </c>
      <c r="AA41" s="10" t="s">
        <v>341</v>
      </c>
      <c r="AB41" s="10"/>
      <c r="AC41" s="16">
        <f t="shared" si="12"/>
        <v>1236</v>
      </c>
      <c r="AD41" s="10" t="s">
        <v>430</v>
      </c>
      <c r="AE41" s="10"/>
      <c r="AF41" s="16">
        <f t="shared" si="13"/>
        <v>1860</v>
      </c>
      <c r="AG41" s="10" t="s">
        <v>453</v>
      </c>
      <c r="AH41" s="10"/>
      <c r="AI41" s="16">
        <f t="shared" si="14"/>
        <v>2483</v>
      </c>
      <c r="AJ41" s="10" t="s">
        <v>475</v>
      </c>
      <c r="AK41" s="10"/>
      <c r="AM41" s="17">
        <f t="shared" si="46"/>
        <v>631</v>
      </c>
      <c r="AN41" s="10" t="s">
        <v>341</v>
      </c>
      <c r="AO41" s="17">
        <f t="shared" si="16"/>
        <v>1248</v>
      </c>
      <c r="AP41" s="10" t="s">
        <v>430</v>
      </c>
      <c r="AQ41" s="17">
        <f t="shared" si="17"/>
        <v>1878</v>
      </c>
      <c r="AR41" s="10" t="s">
        <v>453</v>
      </c>
      <c r="AS41" s="17">
        <f t="shared" si="18"/>
        <v>2507</v>
      </c>
      <c r="AT41" s="10" t="s">
        <v>475</v>
      </c>
    </row>
    <row r="42" spans="8:46" x14ac:dyDescent="0.25">
      <c r="H42" s="16">
        <f>H15-(18.01056/4)</f>
        <v>571.55978500000003</v>
      </c>
      <c r="I42" s="10" t="s">
        <v>346</v>
      </c>
      <c r="J42" s="16">
        <f>J15-(18.01056/4)</f>
        <v>1146.6143900000002</v>
      </c>
      <c r="K42" s="10" t="s">
        <v>431</v>
      </c>
      <c r="L42" s="16">
        <f>L15-(18.01056/4)</f>
        <v>1721.6689950000002</v>
      </c>
      <c r="M42" s="10" t="s">
        <v>454</v>
      </c>
      <c r="N42" s="16">
        <f t="shared" ref="N42" si="48">N15-(18.01056/4)</f>
        <v>2296.7235999999998</v>
      </c>
      <c r="O42" s="10" t="s">
        <v>346</v>
      </c>
      <c r="Q42" s="17">
        <f t="shared" ref="Q42:Q45" si="49">Q15-(18.01056/4)</f>
        <v>468.48915749999998</v>
      </c>
      <c r="R42" s="10" t="s">
        <v>346</v>
      </c>
      <c r="S42" s="17">
        <f>S15-(18.01056*2/4)</f>
        <v>935.97049500000003</v>
      </c>
      <c r="T42" s="10" t="s">
        <v>431</v>
      </c>
      <c r="U42" s="17">
        <f>U15-(18.01056*3/4)</f>
        <v>1403.4518324999999</v>
      </c>
      <c r="V42" s="10" t="s">
        <v>454</v>
      </c>
      <c r="W42" s="17">
        <f>W15-(18.01056*4/4)</f>
        <v>1870.93317</v>
      </c>
      <c r="X42" s="10" t="s">
        <v>476</v>
      </c>
      <c r="Z42" s="16">
        <f>TRUNC(Z15-(18/4),0)</f>
        <v>463</v>
      </c>
      <c r="AA42" s="10" t="s">
        <v>346</v>
      </c>
      <c r="AB42" s="10"/>
      <c r="AC42" s="16">
        <f t="shared" si="12"/>
        <v>917</v>
      </c>
      <c r="AD42" s="10" t="s">
        <v>431</v>
      </c>
      <c r="AE42" s="10"/>
      <c r="AF42" s="16">
        <f t="shared" si="13"/>
        <v>1385</v>
      </c>
      <c r="AG42" s="10" t="s">
        <v>454</v>
      </c>
      <c r="AH42" s="10"/>
      <c r="AI42" s="16">
        <f t="shared" si="14"/>
        <v>1852</v>
      </c>
      <c r="AJ42" s="10" t="s">
        <v>476</v>
      </c>
      <c r="AK42" s="10"/>
      <c r="AM42" s="17">
        <f>TRUNC(AM15-(18/4),0)</f>
        <v>467</v>
      </c>
      <c r="AN42" s="10" t="s">
        <v>346</v>
      </c>
      <c r="AO42" s="17">
        <f t="shared" si="16"/>
        <v>926</v>
      </c>
      <c r="AP42" s="10" t="s">
        <v>431</v>
      </c>
      <c r="AQ42" s="17">
        <f t="shared" si="17"/>
        <v>1398</v>
      </c>
      <c r="AR42" s="10" t="s">
        <v>454</v>
      </c>
      <c r="AS42" s="17">
        <f t="shared" si="18"/>
        <v>1870</v>
      </c>
      <c r="AT42" s="10" t="s">
        <v>476</v>
      </c>
    </row>
    <row r="43" spans="8:46" x14ac:dyDescent="0.25">
      <c r="H43" s="16">
        <f t="shared" ref="H43:H46" si="50">H16-(18.01056/4)</f>
        <v>577.05527999999993</v>
      </c>
      <c r="I43" s="10" t="s">
        <v>358</v>
      </c>
      <c r="J43" s="16">
        <f t="shared" ref="J43:J46" si="51">J16-(18.01056/4)</f>
        <v>1152.1098850000003</v>
      </c>
      <c r="K43" s="10" t="s">
        <v>432</v>
      </c>
      <c r="L43" s="16">
        <f t="shared" ref="L43:L46" si="52">L16-(18.01056/4)</f>
        <v>1727.1644900000003</v>
      </c>
      <c r="M43" s="10" t="s">
        <v>455</v>
      </c>
      <c r="N43" s="16">
        <f t="shared" ref="N43" si="53">N16-(18.01056/4)</f>
        <v>2302.2190949999999</v>
      </c>
      <c r="O43" s="10" t="s">
        <v>358</v>
      </c>
      <c r="Q43" s="17">
        <f t="shared" si="49"/>
        <v>473.98465250000004</v>
      </c>
      <c r="R43" s="10" t="s">
        <v>358</v>
      </c>
      <c r="S43" s="17">
        <f t="shared" ref="S43:S46" si="54">S16-(18.01056*2/4)</f>
        <v>941.46598999999992</v>
      </c>
      <c r="T43" s="10" t="s">
        <v>432</v>
      </c>
      <c r="U43" s="17">
        <f t="shared" ref="U43:U46" si="55">U16-(18.01056*3/4)</f>
        <v>1408.9473275</v>
      </c>
      <c r="V43" s="10" t="s">
        <v>455</v>
      </c>
      <c r="W43" s="17">
        <f t="shared" ref="W43:W46" si="56">W16-(18.01056*4/4)</f>
        <v>1876.6806200000001</v>
      </c>
      <c r="X43" s="10" t="s">
        <v>477</v>
      </c>
      <c r="Z43" s="16">
        <f t="shared" ref="Z43:Z46" si="57">TRUNC(Z16-(18/4),0)</f>
        <v>468</v>
      </c>
      <c r="AA43" s="10" t="s">
        <v>358</v>
      </c>
      <c r="AB43" s="10"/>
      <c r="AC43" s="16">
        <f t="shared" si="12"/>
        <v>923</v>
      </c>
      <c r="AD43" s="10" t="s">
        <v>432</v>
      </c>
      <c r="AE43" s="10"/>
      <c r="AF43" s="16">
        <f t="shared" si="13"/>
        <v>1390</v>
      </c>
      <c r="AG43" s="10" t="s">
        <v>455</v>
      </c>
      <c r="AH43" s="10"/>
      <c r="AI43" s="16">
        <f t="shared" si="14"/>
        <v>1858</v>
      </c>
      <c r="AJ43" s="10" t="s">
        <v>477</v>
      </c>
      <c r="AK43" s="10"/>
      <c r="AM43" s="17">
        <f t="shared" ref="AM43:AM46" si="58">TRUNC(AM16-(18/4),0)</f>
        <v>473</v>
      </c>
      <c r="AN43" s="10" t="s">
        <v>358</v>
      </c>
      <c r="AO43" s="17">
        <f t="shared" si="16"/>
        <v>932</v>
      </c>
      <c r="AP43" s="10" t="s">
        <v>432</v>
      </c>
      <c r="AQ43" s="17">
        <f t="shared" si="17"/>
        <v>1404</v>
      </c>
      <c r="AR43" s="10" t="s">
        <v>455</v>
      </c>
      <c r="AS43" s="17">
        <f t="shared" si="18"/>
        <v>1876</v>
      </c>
      <c r="AT43" s="10" t="s">
        <v>477</v>
      </c>
    </row>
    <row r="44" spans="8:46" x14ac:dyDescent="0.25">
      <c r="H44" s="16">
        <f t="shared" si="50"/>
        <v>571.05587500000001</v>
      </c>
      <c r="I44" s="10" t="s">
        <v>359</v>
      </c>
      <c r="J44" s="16">
        <f t="shared" si="51"/>
        <v>1146.1104800000001</v>
      </c>
      <c r="K44" s="10" t="s">
        <v>433</v>
      </c>
      <c r="L44" s="16">
        <f t="shared" si="52"/>
        <v>1721.1650850000001</v>
      </c>
      <c r="M44" s="10" t="s">
        <v>456</v>
      </c>
      <c r="N44" s="16">
        <f t="shared" ref="N44" si="59">N17-(18.01056/4)</f>
        <v>2296.2196899999999</v>
      </c>
      <c r="O44" s="10" t="s">
        <v>359</v>
      </c>
      <c r="Q44" s="17">
        <f t="shared" si="49"/>
        <v>479.48014749999999</v>
      </c>
      <c r="R44" s="10" t="s">
        <v>359</v>
      </c>
      <c r="S44" s="17">
        <f t="shared" si="54"/>
        <v>946.96148500000004</v>
      </c>
      <c r="T44" s="10" t="s">
        <v>433</v>
      </c>
      <c r="U44" s="17">
        <f t="shared" si="55"/>
        <v>1414.4428224999997</v>
      </c>
      <c r="V44" s="10" t="s">
        <v>456</v>
      </c>
      <c r="W44" s="17">
        <f t="shared" si="56"/>
        <v>1881.9241599999998</v>
      </c>
      <c r="X44" s="10" t="s">
        <v>478</v>
      </c>
      <c r="Z44" s="16">
        <f t="shared" si="57"/>
        <v>474</v>
      </c>
      <c r="AA44" s="10" t="s">
        <v>359</v>
      </c>
      <c r="AB44" s="10"/>
      <c r="AC44" s="16">
        <f t="shared" si="12"/>
        <v>928</v>
      </c>
      <c r="AD44" s="10" t="s">
        <v>433</v>
      </c>
      <c r="AE44" s="10"/>
      <c r="AF44" s="16">
        <f t="shared" si="13"/>
        <v>1396</v>
      </c>
      <c r="AG44" s="10" t="s">
        <v>456</v>
      </c>
      <c r="AH44" s="10"/>
      <c r="AI44" s="16">
        <f t="shared" si="14"/>
        <v>1863</v>
      </c>
      <c r="AJ44" s="10" t="s">
        <v>478</v>
      </c>
      <c r="AK44" s="10"/>
      <c r="AM44" s="17">
        <f t="shared" si="58"/>
        <v>478</v>
      </c>
      <c r="AN44" s="10" t="s">
        <v>359</v>
      </c>
      <c r="AO44" s="17">
        <f t="shared" si="16"/>
        <v>937</v>
      </c>
      <c r="AP44" s="10" t="s">
        <v>433</v>
      </c>
      <c r="AQ44" s="17">
        <f t="shared" si="17"/>
        <v>1409</v>
      </c>
      <c r="AR44" s="10" t="s">
        <v>456</v>
      </c>
      <c r="AS44" s="17">
        <f t="shared" si="18"/>
        <v>1881</v>
      </c>
      <c r="AT44" s="10" t="s">
        <v>478</v>
      </c>
    </row>
    <row r="45" spans="8:46" x14ac:dyDescent="0.25">
      <c r="H45" s="16">
        <f t="shared" si="50"/>
        <v>588.04626999999994</v>
      </c>
      <c r="I45" s="10" t="s">
        <v>360</v>
      </c>
      <c r="J45" s="16">
        <f t="shared" si="51"/>
        <v>1163.1008750000001</v>
      </c>
      <c r="K45" s="10" t="s">
        <v>434</v>
      </c>
      <c r="L45" s="16">
        <f t="shared" si="52"/>
        <v>1738.1554800000001</v>
      </c>
      <c r="M45" s="10" t="s">
        <v>457</v>
      </c>
      <c r="N45" s="16">
        <f t="shared" ref="N45" si="60">N18-(18.01056/4)</f>
        <v>2313.2100850000002</v>
      </c>
      <c r="O45" s="10" t="s">
        <v>360</v>
      </c>
      <c r="Q45" s="17">
        <f t="shared" si="49"/>
        <v>484.97564249999999</v>
      </c>
      <c r="R45" s="10" t="s">
        <v>360</v>
      </c>
      <c r="S45" s="17">
        <f t="shared" si="54"/>
        <v>952.45697999999993</v>
      </c>
      <c r="T45" s="10" t="s">
        <v>434</v>
      </c>
      <c r="U45" s="17">
        <f t="shared" si="55"/>
        <v>1419.9383174999998</v>
      </c>
      <c r="V45" s="10" t="s">
        <v>457</v>
      </c>
      <c r="W45" s="17">
        <f t="shared" si="56"/>
        <v>1887.4196549999999</v>
      </c>
      <c r="X45" s="10" t="s">
        <v>479</v>
      </c>
      <c r="Z45" s="16">
        <f t="shared" si="57"/>
        <v>479</v>
      </c>
      <c r="AA45" s="10" t="s">
        <v>360</v>
      </c>
      <c r="AB45" s="10"/>
      <c r="AC45" s="16">
        <f t="shared" si="12"/>
        <v>934</v>
      </c>
      <c r="AD45" s="10" t="s">
        <v>434</v>
      </c>
      <c r="AE45" s="10"/>
      <c r="AF45" s="16">
        <f t="shared" si="13"/>
        <v>1401</v>
      </c>
      <c r="AG45" s="10" t="s">
        <v>457</v>
      </c>
      <c r="AH45" s="10"/>
      <c r="AI45" s="16">
        <f t="shared" si="14"/>
        <v>1869</v>
      </c>
      <c r="AJ45" s="10" t="s">
        <v>479</v>
      </c>
      <c r="AK45" s="10"/>
      <c r="AM45" s="17">
        <f t="shared" si="58"/>
        <v>484</v>
      </c>
      <c r="AN45" s="10" t="s">
        <v>360</v>
      </c>
      <c r="AO45" s="17">
        <f t="shared" si="16"/>
        <v>943</v>
      </c>
      <c r="AP45" s="10" t="s">
        <v>434</v>
      </c>
      <c r="AQ45" s="17">
        <f t="shared" si="17"/>
        <v>1415</v>
      </c>
      <c r="AR45" s="10" t="s">
        <v>457</v>
      </c>
      <c r="AS45" s="17">
        <f t="shared" si="18"/>
        <v>1887</v>
      </c>
      <c r="AT45" s="10" t="s">
        <v>479</v>
      </c>
    </row>
    <row r="46" spans="8:46" x14ac:dyDescent="0.25">
      <c r="H46" s="16">
        <f t="shared" si="50"/>
        <v>593.54176499999994</v>
      </c>
      <c r="I46" s="10" t="s">
        <v>350</v>
      </c>
      <c r="J46" s="16">
        <f t="shared" si="51"/>
        <v>1168.5963700000002</v>
      </c>
      <c r="K46" s="10" t="s">
        <v>435</v>
      </c>
      <c r="L46" s="16">
        <f t="shared" si="52"/>
        <v>1743.6509750000002</v>
      </c>
      <c r="M46" s="10" t="s">
        <v>458</v>
      </c>
      <c r="N46" s="16">
        <f t="shared" ref="N46" si="61">N19-(18.01056/4)</f>
        <v>2318.7055799999998</v>
      </c>
      <c r="O46" s="10" t="s">
        <v>350</v>
      </c>
      <c r="Q46" s="17">
        <f>Q19-(18.01056/4)</f>
        <v>490.4711375</v>
      </c>
      <c r="R46" s="10" t="s">
        <v>350</v>
      </c>
      <c r="S46" s="17">
        <f t="shared" si="54"/>
        <v>957.95247499999994</v>
      </c>
      <c r="T46" s="10" t="s">
        <v>435</v>
      </c>
      <c r="U46" s="17">
        <f t="shared" si="55"/>
        <v>1425.4338124999999</v>
      </c>
      <c r="V46" s="10" t="s">
        <v>458</v>
      </c>
      <c r="W46" s="17">
        <f t="shared" si="56"/>
        <v>1892.91515</v>
      </c>
      <c r="X46" s="10" t="s">
        <v>480</v>
      </c>
      <c r="Z46" s="16">
        <f t="shared" si="57"/>
        <v>485</v>
      </c>
      <c r="AA46" s="10" t="s">
        <v>350</v>
      </c>
      <c r="AB46" s="10"/>
      <c r="AC46" s="16">
        <f t="shared" si="12"/>
        <v>939</v>
      </c>
      <c r="AD46" s="10" t="s">
        <v>435</v>
      </c>
      <c r="AE46" s="10"/>
      <c r="AF46" s="16">
        <f t="shared" si="13"/>
        <v>1407</v>
      </c>
      <c r="AG46" s="10" t="s">
        <v>458</v>
      </c>
      <c r="AH46" s="10"/>
      <c r="AI46" s="16">
        <f t="shared" si="14"/>
        <v>1874</v>
      </c>
      <c r="AJ46" s="10" t="s">
        <v>480</v>
      </c>
      <c r="AK46" s="10"/>
      <c r="AM46" s="17">
        <f t="shared" si="58"/>
        <v>489</v>
      </c>
      <c r="AN46" s="10" t="s">
        <v>350</v>
      </c>
      <c r="AO46" s="17">
        <f t="shared" si="16"/>
        <v>948</v>
      </c>
      <c r="AP46" s="10" t="s">
        <v>435</v>
      </c>
      <c r="AQ46" s="17">
        <f t="shared" si="17"/>
        <v>1420</v>
      </c>
      <c r="AR46" s="10" t="s">
        <v>458</v>
      </c>
      <c r="AS46" s="17">
        <f t="shared" si="18"/>
        <v>1892</v>
      </c>
      <c r="AT46" s="10" t="s">
        <v>480</v>
      </c>
    </row>
    <row r="47" spans="8:46" x14ac:dyDescent="0.25">
      <c r="H47" s="16">
        <f>H20-(18.01056/5)</f>
        <v>457.44939200000005</v>
      </c>
      <c r="I47" s="10" t="s">
        <v>351</v>
      </c>
      <c r="J47" s="16">
        <f>J20-(18.01056/5)</f>
        <v>917.49307599999997</v>
      </c>
      <c r="K47" s="10" t="s">
        <v>436</v>
      </c>
      <c r="L47" s="16">
        <f>L20-(18.01056/5)</f>
        <v>1377.53676</v>
      </c>
      <c r="M47" s="10" t="s">
        <v>459</v>
      </c>
      <c r="N47" s="16">
        <f t="shared" ref="N47" si="62">N20-(18.01056/5)</f>
        <v>1837.5804440000002</v>
      </c>
      <c r="O47" s="10" t="s">
        <v>351</v>
      </c>
      <c r="Q47" s="17">
        <f>Q20-(18.01056/5)</f>
        <v>374.99288999999999</v>
      </c>
      <c r="R47" s="10" t="s">
        <v>351</v>
      </c>
      <c r="S47" s="17">
        <f>S20-(18.01056*2/5)</f>
        <v>748.97796000000005</v>
      </c>
      <c r="T47" s="10" t="s">
        <v>436</v>
      </c>
      <c r="U47" s="17">
        <f>U20-(18.01056*3/5)</f>
        <v>1122.9630299999999</v>
      </c>
      <c r="V47" s="10" t="s">
        <v>459</v>
      </c>
      <c r="W47" s="17">
        <f>W20-(18.01056*4/5)</f>
        <v>1496.9481000000001</v>
      </c>
      <c r="X47" s="10" t="s">
        <v>481</v>
      </c>
      <c r="Z47" s="16">
        <f>TRUNC(Z20-(18/5),0)</f>
        <v>370</v>
      </c>
      <c r="AA47" s="10" t="s">
        <v>351</v>
      </c>
      <c r="AB47" s="10"/>
      <c r="AC47" s="16">
        <f t="shared" si="12"/>
        <v>730</v>
      </c>
      <c r="AD47" s="10" t="s">
        <v>436</v>
      </c>
      <c r="AE47" s="10"/>
      <c r="AF47" s="16">
        <f t="shared" si="13"/>
        <v>1104</v>
      </c>
      <c r="AG47" s="10" t="s">
        <v>459</v>
      </c>
      <c r="AH47" s="10"/>
      <c r="AI47" s="16">
        <f t="shared" si="14"/>
        <v>1478</v>
      </c>
      <c r="AJ47" s="10" t="s">
        <v>481</v>
      </c>
      <c r="AK47" s="10"/>
      <c r="AM47" s="17">
        <f>TRUNC(AM20-(18/5),0)</f>
        <v>374</v>
      </c>
      <c r="AN47" s="10" t="s">
        <v>351</v>
      </c>
      <c r="AO47" s="17">
        <f t="shared" ref="AO47:AO52" si="63">TRUNC(AO20-18/5,0)</f>
        <v>752</v>
      </c>
      <c r="AP47" s="10" t="s">
        <v>436</v>
      </c>
      <c r="AQ47" s="17">
        <f t="shared" si="17"/>
        <v>1115</v>
      </c>
      <c r="AR47" s="10" t="s">
        <v>459</v>
      </c>
      <c r="AS47" s="17">
        <f t="shared" si="18"/>
        <v>1493</v>
      </c>
      <c r="AT47" s="10" t="s">
        <v>481</v>
      </c>
    </row>
    <row r="48" spans="8:46" x14ac:dyDescent="0.25">
      <c r="H48" s="16">
        <f t="shared" ref="H48:H52" si="64">H21-(18.01056/5)</f>
        <v>461.84578800000003</v>
      </c>
      <c r="I48" s="10" t="s">
        <v>352</v>
      </c>
      <c r="J48" s="16">
        <f t="shared" ref="J48:J52" si="65">J21-(18.01056/5)</f>
        <v>921.88947200000007</v>
      </c>
      <c r="K48" s="10" t="s">
        <v>437</v>
      </c>
      <c r="L48" s="16">
        <f t="shared" ref="L48:L52" si="66">L21-(18.01056/5)</f>
        <v>1381.9331560000001</v>
      </c>
      <c r="M48" s="10" t="s">
        <v>460</v>
      </c>
      <c r="N48" s="16">
        <f t="shared" ref="N48" si="67">N21-(18.01056/5)</f>
        <v>1841.9768399999998</v>
      </c>
      <c r="O48" s="10" t="s">
        <v>352</v>
      </c>
      <c r="Q48" s="17">
        <f t="shared" ref="Q48:Q52" si="68">Q21-(18.01056/5)</f>
        <v>379.38928600000003</v>
      </c>
      <c r="R48" s="10" t="s">
        <v>352</v>
      </c>
      <c r="S48" s="17">
        <f t="shared" ref="S48:S52" si="69">S21-(18.01056*2/5)</f>
        <v>753.37435600000003</v>
      </c>
      <c r="T48" s="10" t="s">
        <v>437</v>
      </c>
      <c r="U48" s="17">
        <f t="shared" ref="U48:U52" si="70">U21-(18.01056*3/5)</f>
        <v>1127.359426</v>
      </c>
      <c r="V48" s="10" t="s">
        <v>460</v>
      </c>
      <c r="W48" s="17">
        <f t="shared" ref="W48:W52" si="71">W21-(18.01056*4/5)</f>
        <v>1501.3444960000002</v>
      </c>
      <c r="X48" s="10" t="s">
        <v>482</v>
      </c>
      <c r="Z48" s="16">
        <f t="shared" ref="Z48:Z52" si="72">TRUNC(Z21-(18/5),0)</f>
        <v>375</v>
      </c>
      <c r="AA48" s="10" t="s">
        <v>352</v>
      </c>
      <c r="AB48" s="10"/>
      <c r="AC48" s="16">
        <f t="shared" si="12"/>
        <v>735</v>
      </c>
      <c r="AD48" s="10" t="s">
        <v>437</v>
      </c>
      <c r="AE48" s="10"/>
      <c r="AF48" s="16">
        <f t="shared" si="13"/>
        <v>1109</v>
      </c>
      <c r="AG48" s="10" t="s">
        <v>460</v>
      </c>
      <c r="AH48" s="10"/>
      <c r="AI48" s="16">
        <f t="shared" si="14"/>
        <v>1483</v>
      </c>
      <c r="AJ48" s="10" t="s">
        <v>482</v>
      </c>
      <c r="AK48" s="10"/>
      <c r="AM48" s="17">
        <f t="shared" ref="AM48:AM52" si="73">TRUNC(AM21-(18/5),0)</f>
        <v>378</v>
      </c>
      <c r="AN48" s="10" t="s">
        <v>352</v>
      </c>
      <c r="AO48" s="17">
        <f t="shared" si="63"/>
        <v>756</v>
      </c>
      <c r="AP48" s="10" t="s">
        <v>437</v>
      </c>
      <c r="AQ48" s="17">
        <f t="shared" si="17"/>
        <v>1120</v>
      </c>
      <c r="AR48" s="10" t="s">
        <v>460</v>
      </c>
      <c r="AS48" s="17">
        <f t="shared" si="18"/>
        <v>1497</v>
      </c>
      <c r="AT48" s="10" t="s">
        <v>482</v>
      </c>
    </row>
    <row r="49" spans="4:46" x14ac:dyDescent="0.25">
      <c r="H49" s="16">
        <f t="shared" si="64"/>
        <v>466.24218400000007</v>
      </c>
      <c r="I49" s="10" t="s">
        <v>353</v>
      </c>
      <c r="J49" s="16">
        <f t="shared" si="65"/>
        <v>926.28586800000005</v>
      </c>
      <c r="K49" s="10" t="s">
        <v>438</v>
      </c>
      <c r="L49" s="16">
        <f t="shared" si="66"/>
        <v>1386.3295520000001</v>
      </c>
      <c r="M49" s="10" t="s">
        <v>461</v>
      </c>
      <c r="N49" s="16">
        <f t="shared" ref="N49" si="74">N22-(18.01056/5)</f>
        <v>1846.3732360000004</v>
      </c>
      <c r="O49" s="10" t="s">
        <v>353</v>
      </c>
      <c r="Q49" s="17">
        <f t="shared" si="68"/>
        <v>383.78568200000001</v>
      </c>
      <c r="R49" s="10" t="s">
        <v>353</v>
      </c>
      <c r="S49" s="17">
        <f t="shared" si="69"/>
        <v>757.77075200000002</v>
      </c>
      <c r="T49" s="10" t="s">
        <v>438</v>
      </c>
      <c r="U49" s="17">
        <f t="shared" si="70"/>
        <v>1131.7558219999999</v>
      </c>
      <c r="V49" s="10" t="s">
        <v>461</v>
      </c>
      <c r="W49" s="17">
        <f t="shared" si="71"/>
        <v>1505.740892</v>
      </c>
      <c r="X49" s="10" t="s">
        <v>483</v>
      </c>
      <c r="Z49" s="16">
        <f t="shared" si="72"/>
        <v>379</v>
      </c>
      <c r="AA49" s="10" t="s">
        <v>353</v>
      </c>
      <c r="AB49" s="10"/>
      <c r="AC49" s="16">
        <f t="shared" si="12"/>
        <v>739</v>
      </c>
      <c r="AD49" s="10" t="s">
        <v>438</v>
      </c>
      <c r="AE49" s="10"/>
      <c r="AF49" s="16">
        <f t="shared" si="13"/>
        <v>1113</v>
      </c>
      <c r="AG49" s="10" t="s">
        <v>461</v>
      </c>
      <c r="AH49" s="10"/>
      <c r="AI49" s="16">
        <f t="shared" si="14"/>
        <v>1487</v>
      </c>
      <c r="AJ49" s="10" t="s">
        <v>483</v>
      </c>
      <c r="AK49" s="10"/>
      <c r="AM49" s="17">
        <f t="shared" si="73"/>
        <v>383</v>
      </c>
      <c r="AN49" s="10" t="s">
        <v>353</v>
      </c>
      <c r="AO49" s="17">
        <f t="shared" si="63"/>
        <v>760</v>
      </c>
      <c r="AP49" s="10" t="s">
        <v>438</v>
      </c>
      <c r="AQ49" s="17">
        <f t="shared" si="17"/>
        <v>1124</v>
      </c>
      <c r="AR49" s="10" t="s">
        <v>461</v>
      </c>
      <c r="AS49" s="17">
        <f t="shared" si="18"/>
        <v>1502</v>
      </c>
      <c r="AT49" s="10" t="s">
        <v>483</v>
      </c>
    </row>
    <row r="50" spans="4:46" x14ac:dyDescent="0.25">
      <c r="F50" s="4" t="s">
        <v>47</v>
      </c>
      <c r="H50" s="16">
        <f t="shared" si="64"/>
        <v>470.63858000000005</v>
      </c>
      <c r="I50" s="10" t="s">
        <v>354</v>
      </c>
      <c r="J50" s="16">
        <f t="shared" si="65"/>
        <v>930.68226399999992</v>
      </c>
      <c r="K50" s="10" t="s">
        <v>439</v>
      </c>
      <c r="L50" s="16">
        <f t="shared" si="66"/>
        <v>1390.725948</v>
      </c>
      <c r="M50" s="10" t="s">
        <v>462</v>
      </c>
      <c r="N50" s="16">
        <f t="shared" ref="N50" si="75">N23-(18.01056/5)</f>
        <v>1850.769632</v>
      </c>
      <c r="O50" s="10" t="s">
        <v>354</v>
      </c>
      <c r="Q50" s="17">
        <f t="shared" si="68"/>
        <v>388.18207799999999</v>
      </c>
      <c r="R50" s="10" t="s">
        <v>354</v>
      </c>
      <c r="S50" s="17">
        <f t="shared" si="69"/>
        <v>762.167148</v>
      </c>
      <c r="T50" s="10" t="s">
        <v>439</v>
      </c>
      <c r="U50" s="17">
        <f t="shared" si="70"/>
        <v>1136.1522179999997</v>
      </c>
      <c r="V50" s="10" t="s">
        <v>462</v>
      </c>
      <c r="W50" s="17">
        <f t="shared" si="71"/>
        <v>1510.1372879999999</v>
      </c>
      <c r="X50" s="10" t="s">
        <v>484</v>
      </c>
      <c r="Z50" s="16">
        <f t="shared" si="72"/>
        <v>384</v>
      </c>
      <c r="AA50" s="10" t="s">
        <v>354</v>
      </c>
      <c r="AB50" s="10"/>
      <c r="AC50" s="16">
        <f t="shared" si="12"/>
        <v>744</v>
      </c>
      <c r="AD50" s="10" t="s">
        <v>439</v>
      </c>
      <c r="AE50" s="10"/>
      <c r="AF50" s="16">
        <f t="shared" si="13"/>
        <v>1118</v>
      </c>
      <c r="AG50" s="10" t="s">
        <v>462</v>
      </c>
      <c r="AH50" s="10"/>
      <c r="AI50" s="16">
        <f t="shared" si="14"/>
        <v>1492</v>
      </c>
      <c r="AJ50" s="10" t="s">
        <v>484</v>
      </c>
      <c r="AK50" s="10"/>
      <c r="AM50" s="17">
        <f t="shared" si="73"/>
        <v>387</v>
      </c>
      <c r="AN50" s="10" t="s">
        <v>354</v>
      </c>
      <c r="AO50" s="17">
        <f t="shared" si="63"/>
        <v>765</v>
      </c>
      <c r="AP50" s="10" t="s">
        <v>439</v>
      </c>
      <c r="AQ50" s="17">
        <f t="shared" si="17"/>
        <v>1128</v>
      </c>
      <c r="AR50" s="10" t="s">
        <v>462</v>
      </c>
      <c r="AS50" s="17">
        <f t="shared" si="18"/>
        <v>1506</v>
      </c>
      <c r="AT50" s="10" t="s">
        <v>484</v>
      </c>
    </row>
    <row r="51" spans="4:46" x14ac:dyDescent="0.25">
      <c r="H51" s="16">
        <f t="shared" si="64"/>
        <v>475.03497599999997</v>
      </c>
      <c r="I51" s="10" t="s">
        <v>361</v>
      </c>
      <c r="J51" s="16">
        <f t="shared" si="65"/>
        <v>935.07866000000001</v>
      </c>
      <c r="K51" s="10" t="s">
        <v>440</v>
      </c>
      <c r="L51" s="16">
        <f t="shared" si="66"/>
        <v>1395.1223440000001</v>
      </c>
      <c r="M51" s="10" t="s">
        <v>463</v>
      </c>
      <c r="N51" s="16">
        <f t="shared" ref="N51" si="76">N24-(18.01056/5)</f>
        <v>1855.1660280000001</v>
      </c>
      <c r="O51" s="10" t="s">
        <v>361</v>
      </c>
      <c r="Q51" s="17">
        <f t="shared" si="68"/>
        <v>392.57847400000003</v>
      </c>
      <c r="R51" s="10" t="s">
        <v>361</v>
      </c>
      <c r="S51" s="17">
        <f t="shared" si="69"/>
        <v>766.56354399999998</v>
      </c>
      <c r="T51" s="10" t="s">
        <v>440</v>
      </c>
      <c r="U51" s="17">
        <f t="shared" si="70"/>
        <v>1140.5486139999998</v>
      </c>
      <c r="V51" s="10" t="s">
        <v>463</v>
      </c>
      <c r="W51" s="17">
        <f t="shared" si="71"/>
        <v>1514.533684</v>
      </c>
      <c r="X51" s="10" t="s">
        <v>485</v>
      </c>
      <c r="Z51" s="16">
        <f t="shared" si="72"/>
        <v>388</v>
      </c>
      <c r="AA51" s="10" t="s">
        <v>361</v>
      </c>
      <c r="AB51" s="10"/>
      <c r="AC51" s="16">
        <f t="shared" si="12"/>
        <v>748</v>
      </c>
      <c r="AD51" s="10" t="s">
        <v>440</v>
      </c>
      <c r="AE51" s="10"/>
      <c r="AF51" s="16">
        <f t="shared" si="13"/>
        <v>1122</v>
      </c>
      <c r="AG51" s="10" t="s">
        <v>463</v>
      </c>
      <c r="AH51" s="10"/>
      <c r="AI51" s="16">
        <f t="shared" si="14"/>
        <v>1496</v>
      </c>
      <c r="AJ51" s="10" t="s">
        <v>485</v>
      </c>
      <c r="AK51" s="10"/>
      <c r="AM51" s="17">
        <f t="shared" si="73"/>
        <v>392</v>
      </c>
      <c r="AN51" s="10" t="s">
        <v>361</v>
      </c>
      <c r="AO51" s="17">
        <f t="shared" si="63"/>
        <v>769</v>
      </c>
      <c r="AP51" s="10" t="s">
        <v>440</v>
      </c>
      <c r="AQ51" s="17">
        <f t="shared" si="17"/>
        <v>1133</v>
      </c>
      <c r="AR51" s="10" t="s">
        <v>463</v>
      </c>
      <c r="AS51" s="17">
        <f t="shared" si="18"/>
        <v>1510</v>
      </c>
      <c r="AT51" s="10" t="s">
        <v>485</v>
      </c>
    </row>
    <row r="52" spans="4:46" x14ac:dyDescent="0.25">
      <c r="H52" s="16">
        <f t="shared" si="64"/>
        <v>479.43137200000007</v>
      </c>
      <c r="I52" s="10" t="s">
        <v>356</v>
      </c>
      <c r="J52" s="16">
        <f t="shared" si="65"/>
        <v>939.475056</v>
      </c>
      <c r="K52" s="10" t="s">
        <v>441</v>
      </c>
      <c r="L52" s="16">
        <f t="shared" si="66"/>
        <v>1399.51874</v>
      </c>
      <c r="M52" s="10" t="s">
        <v>464</v>
      </c>
      <c r="N52" s="16">
        <f t="shared" ref="N52" si="77">N25-(18.01056/5)</f>
        <v>1859.5624240000002</v>
      </c>
      <c r="O52" s="10" t="s">
        <v>356</v>
      </c>
      <c r="Q52" s="17">
        <f t="shared" si="68"/>
        <v>396.97487000000001</v>
      </c>
      <c r="R52" s="10" t="s">
        <v>356</v>
      </c>
      <c r="S52" s="17">
        <f t="shared" si="69"/>
        <v>770.95994000000007</v>
      </c>
      <c r="T52" s="10" t="s">
        <v>441</v>
      </c>
      <c r="U52" s="17">
        <f t="shared" si="70"/>
        <v>1144.9450099999997</v>
      </c>
      <c r="V52" s="10" t="s">
        <v>464</v>
      </c>
      <c r="W52" s="17">
        <f t="shared" si="71"/>
        <v>1518.9300799999999</v>
      </c>
      <c r="X52" s="10" t="s">
        <v>486</v>
      </c>
      <c r="Z52" s="16">
        <f t="shared" si="72"/>
        <v>392</v>
      </c>
      <c r="AA52" s="10" t="s">
        <v>356</v>
      </c>
      <c r="AB52" s="10"/>
      <c r="AC52" s="16">
        <f t="shared" si="12"/>
        <v>752</v>
      </c>
      <c r="AD52" s="10" t="s">
        <v>441</v>
      </c>
      <c r="AE52" s="10"/>
      <c r="AF52" s="16">
        <f t="shared" si="13"/>
        <v>1126</v>
      </c>
      <c r="AG52" s="10" t="s">
        <v>464</v>
      </c>
      <c r="AH52" s="10"/>
      <c r="AI52" s="16">
        <f t="shared" si="14"/>
        <v>1500</v>
      </c>
      <c r="AJ52" s="10" t="s">
        <v>486</v>
      </c>
      <c r="AK52" s="10"/>
      <c r="AM52" s="17">
        <f t="shared" si="73"/>
        <v>396</v>
      </c>
      <c r="AN52" s="10" t="s">
        <v>356</v>
      </c>
      <c r="AO52" s="17">
        <f t="shared" si="63"/>
        <v>774</v>
      </c>
      <c r="AP52" s="10" t="s">
        <v>441</v>
      </c>
      <c r="AQ52" s="17">
        <f t="shared" si="17"/>
        <v>1137</v>
      </c>
      <c r="AR52" s="10" t="s">
        <v>464</v>
      </c>
      <c r="AS52" s="17">
        <f t="shared" si="18"/>
        <v>1515</v>
      </c>
      <c r="AT52" s="10" t="s">
        <v>486</v>
      </c>
    </row>
    <row r="53" spans="4:46" x14ac:dyDescent="0.25">
      <c r="H53" s="14" t="s">
        <v>28</v>
      </c>
      <c r="J53" s="14" t="s">
        <v>28</v>
      </c>
      <c r="L53" s="14" t="s">
        <v>28</v>
      </c>
      <c r="N53" s="14" t="s">
        <v>28</v>
      </c>
      <c r="Q53" s="14" t="s">
        <v>29</v>
      </c>
      <c r="S53" s="14" t="s">
        <v>29</v>
      </c>
      <c r="U53" s="14" t="s">
        <v>29</v>
      </c>
      <c r="W53" s="14" t="s">
        <v>29</v>
      </c>
      <c r="Z53" s="14" t="s">
        <v>82</v>
      </c>
      <c r="AC53" s="14" t="s">
        <v>91</v>
      </c>
      <c r="AF53" s="14" t="s">
        <v>92</v>
      </c>
      <c r="AI53" s="14" t="s">
        <v>93</v>
      </c>
      <c r="AM53" s="14" t="s">
        <v>82</v>
      </c>
      <c r="AO53" s="14" t="s">
        <v>91</v>
      </c>
      <c r="AQ53" s="14" t="s">
        <v>92</v>
      </c>
      <c r="AS53" s="14" t="s">
        <v>93</v>
      </c>
    </row>
    <row r="55" spans="4:46" x14ac:dyDescent="0.25">
      <c r="D55" s="14" t="s">
        <v>28</v>
      </c>
    </row>
    <row r="56" spans="4:46" x14ac:dyDescent="0.25">
      <c r="D56" s="14" t="s">
        <v>29</v>
      </c>
    </row>
    <row r="57" spans="4:46" x14ac:dyDescent="0.25">
      <c r="D57" s="4"/>
    </row>
    <row r="58" spans="4:46" x14ac:dyDescent="0.25">
      <c r="D58" s="14" t="s">
        <v>28</v>
      </c>
    </row>
    <row r="59" spans="4:46" x14ac:dyDescent="0.25">
      <c r="D59" s="14" t="s">
        <v>44</v>
      </c>
    </row>
    <row r="60" spans="4:46" x14ac:dyDescent="0.25">
      <c r="D60" s="4"/>
    </row>
    <row r="61" spans="4:46" x14ac:dyDescent="0.25">
      <c r="D61" s="14" t="s">
        <v>28</v>
      </c>
    </row>
    <row r="62" spans="4:46" x14ac:dyDescent="0.25">
      <c r="D62" s="14" t="s">
        <v>44</v>
      </c>
    </row>
    <row r="63" spans="4:46" x14ac:dyDescent="0.25">
      <c r="D63" s="4"/>
    </row>
    <row r="64" spans="4:46" x14ac:dyDescent="0.25">
      <c r="D64" s="14" t="s">
        <v>28</v>
      </c>
    </row>
    <row r="65" spans="4:10" x14ac:dyDescent="0.25">
      <c r="D65" s="14" t="s">
        <v>44</v>
      </c>
    </row>
    <row r="68" spans="4:10" x14ac:dyDescent="0.25">
      <c r="F68" s="4" t="s">
        <v>48</v>
      </c>
    </row>
    <row r="69" spans="4:10" x14ac:dyDescent="0.25">
      <c r="E69" s="10" t="s">
        <v>16</v>
      </c>
      <c r="F69" s="10" t="s">
        <v>17</v>
      </c>
      <c r="G69" s="10" t="s">
        <v>18</v>
      </c>
    </row>
    <row r="70" spans="4:10" x14ac:dyDescent="0.25">
      <c r="D70" s="5" t="s">
        <v>28</v>
      </c>
      <c r="E70" s="16" t="e">
        <f>#REF!-18.01056</f>
        <v>#REF!</v>
      </c>
      <c r="F70" s="16" t="e">
        <f>#REF!-18.01056</f>
        <v>#REF!</v>
      </c>
      <c r="G70" s="16" t="e">
        <f>#REF!-18.01056</f>
        <v>#REF!</v>
      </c>
    </row>
    <row r="71" spans="4:10" x14ac:dyDescent="0.25">
      <c r="D71" s="5" t="s">
        <v>29</v>
      </c>
      <c r="E71" s="17" t="e">
        <f>#REF!-18.01056</f>
        <v>#REF!</v>
      </c>
      <c r="F71" s="17" t="e">
        <f>#REF!-18.01056</f>
        <v>#REF!</v>
      </c>
      <c r="G71" s="17" t="e">
        <f>#REF!-18.01056</f>
        <v>#REF!</v>
      </c>
    </row>
    <row r="72" spans="4:10" x14ac:dyDescent="0.25">
      <c r="E72" s="10" t="s">
        <v>19</v>
      </c>
      <c r="F72" s="10" t="s">
        <v>20</v>
      </c>
      <c r="G72" s="10" t="s">
        <v>21</v>
      </c>
      <c r="H72" s="10" t="s">
        <v>22</v>
      </c>
      <c r="I72" s="10" t="s">
        <v>23</v>
      </c>
      <c r="J72" s="10" t="s">
        <v>24</v>
      </c>
    </row>
    <row r="73" spans="4:10" x14ac:dyDescent="0.25">
      <c r="D73" s="5" t="s">
        <v>28</v>
      </c>
      <c r="E73" s="16" t="e">
        <f>#REF!-18.01056</f>
        <v>#REF!</v>
      </c>
      <c r="F73" s="16" t="e">
        <f>#REF!-18.01056</f>
        <v>#REF!</v>
      </c>
      <c r="G73" s="16" t="e">
        <f>#REF!-18.01056</f>
        <v>#REF!</v>
      </c>
      <c r="H73" s="16" t="e">
        <f>#REF!-18.01056</f>
        <v>#REF!</v>
      </c>
      <c r="I73" s="16" t="e">
        <f>#REF!-18.01056</f>
        <v>#REF!</v>
      </c>
      <c r="J73" s="16" t="e">
        <f>#REF!-18.01056</f>
        <v>#REF!</v>
      </c>
    </row>
    <row r="74" spans="4:10" x14ac:dyDescent="0.25">
      <c r="D74" s="5" t="s">
        <v>29</v>
      </c>
      <c r="E74" s="17" t="e">
        <f>#REF!-18.01056</f>
        <v>#REF!</v>
      </c>
      <c r="F74" s="17" t="e">
        <f>#REF!-18.01056</f>
        <v>#REF!</v>
      </c>
      <c r="G74" s="17" t="e">
        <f>#REF!-18.01056</f>
        <v>#REF!</v>
      </c>
      <c r="H74" s="17" t="e">
        <f>#REF!-18.01056</f>
        <v>#REF!</v>
      </c>
      <c r="I74" s="17" t="e">
        <f>#REF!-18.01056</f>
        <v>#REF!</v>
      </c>
      <c r="J74" s="17" t="e">
        <f>#REF!-18.01056</f>
        <v>#REF!</v>
      </c>
    </row>
    <row r="75" spans="4:10" x14ac:dyDescent="0.25">
      <c r="D75" s="4"/>
      <c r="E75" s="10" t="s">
        <v>25</v>
      </c>
      <c r="F75" s="10" t="s">
        <v>26</v>
      </c>
      <c r="G75" s="10" t="s">
        <v>27</v>
      </c>
    </row>
    <row r="76" spans="4:10" x14ac:dyDescent="0.25">
      <c r="D76" s="5" t="s">
        <v>28</v>
      </c>
      <c r="E76" s="16" t="e">
        <f>#REF!-18.01056</f>
        <v>#REF!</v>
      </c>
      <c r="F76" s="16" t="e">
        <f>#REF!-18.01056</f>
        <v>#REF!</v>
      </c>
      <c r="G76" s="16" t="e">
        <f>#REF!-18.01056</f>
        <v>#REF!</v>
      </c>
    </row>
    <row r="77" spans="4:10" x14ac:dyDescent="0.25">
      <c r="D77" s="5" t="s">
        <v>44</v>
      </c>
      <c r="E77" s="17" t="e">
        <f>#REF!-18.01056</f>
        <v>#REF!</v>
      </c>
      <c r="F77" s="17" t="e">
        <f>#REF!-18.01056</f>
        <v>#REF!</v>
      </c>
      <c r="G77" s="17" t="e">
        <f>#REF!-18.01056</f>
        <v>#REF!</v>
      </c>
    </row>
    <row r="78" spans="4:10" x14ac:dyDescent="0.25">
      <c r="D78" s="4"/>
      <c r="E78" s="10" t="s">
        <v>62</v>
      </c>
      <c r="F78" s="10" t="s">
        <v>64</v>
      </c>
      <c r="G78" s="10" t="s">
        <v>63</v>
      </c>
      <c r="H78" s="10" t="s">
        <v>65</v>
      </c>
      <c r="I78" s="10" t="s">
        <v>66</v>
      </c>
    </row>
    <row r="79" spans="4:10" x14ac:dyDescent="0.25">
      <c r="D79" s="5" t="s">
        <v>28</v>
      </c>
      <c r="E79" s="16" t="e">
        <f>#REF!-18.01056</f>
        <v>#REF!</v>
      </c>
      <c r="F79" s="16" t="e">
        <f>#REF!-18.01056</f>
        <v>#REF!</v>
      </c>
      <c r="G79" s="16" t="e">
        <f>#REF!-18.01056</f>
        <v>#REF!</v>
      </c>
      <c r="H79" s="16" t="e">
        <f>#REF!-18.01056</f>
        <v>#REF!</v>
      </c>
      <c r="I79" s="16" t="e">
        <f>#REF!-18.01056</f>
        <v>#REF!</v>
      </c>
    </row>
    <row r="80" spans="4:10" x14ac:dyDescent="0.25">
      <c r="D80" s="5" t="s">
        <v>44</v>
      </c>
      <c r="E80" s="17" t="e">
        <f>#REF!-18.01056</f>
        <v>#REF!</v>
      </c>
      <c r="F80" s="17" t="e">
        <f>#REF!-18.01056</f>
        <v>#REF!</v>
      </c>
      <c r="G80" s="17" t="e">
        <f>#REF!-18.01056</f>
        <v>#REF!</v>
      </c>
      <c r="H80" s="17" t="e">
        <f>#REF!-18.01056</f>
        <v>#REF!</v>
      </c>
      <c r="I80" s="17" t="e">
        <f>#REF!-18.01056</f>
        <v>#REF!</v>
      </c>
    </row>
    <row r="81" spans="4:10" x14ac:dyDescent="0.25">
      <c r="D81" s="4"/>
      <c r="E81" s="10" t="s">
        <v>67</v>
      </c>
      <c r="F81" s="10" t="s">
        <v>68</v>
      </c>
      <c r="G81" s="10" t="s">
        <v>69</v>
      </c>
      <c r="H81" s="10" t="s">
        <v>70</v>
      </c>
      <c r="I81" s="10" t="s">
        <v>71</v>
      </c>
      <c r="J81" s="10" t="s">
        <v>72</v>
      </c>
    </row>
    <row r="82" spans="4:10" x14ac:dyDescent="0.25">
      <c r="D82" s="5" t="s">
        <v>28</v>
      </c>
      <c r="E82" s="16" t="e">
        <f>#REF!-18.01056</f>
        <v>#REF!</v>
      </c>
      <c r="F82" s="16" t="e">
        <f>#REF!-18.01056</f>
        <v>#REF!</v>
      </c>
      <c r="G82" s="16" t="e">
        <f>#REF!-18.01056</f>
        <v>#REF!</v>
      </c>
      <c r="H82" s="16" t="e">
        <f>#REF!-18.01056</f>
        <v>#REF!</v>
      </c>
      <c r="I82" s="16" t="e">
        <f>#REF!-18.01056</f>
        <v>#REF!</v>
      </c>
      <c r="J82" s="16" t="e">
        <f>#REF!-18.01056</f>
        <v>#REF!</v>
      </c>
    </row>
    <row r="83" spans="4:10" x14ac:dyDescent="0.25">
      <c r="D83" s="5" t="s">
        <v>44</v>
      </c>
      <c r="E83" s="17" t="e">
        <f>#REF!-18.01056</f>
        <v>#REF!</v>
      </c>
      <c r="F83" s="17" t="e">
        <f>#REF!-18.01056</f>
        <v>#REF!</v>
      </c>
      <c r="G83" s="17" t="e">
        <f>#REF!-18.01056</f>
        <v>#REF!</v>
      </c>
      <c r="H83" s="17" t="e">
        <f>#REF!-18.01056</f>
        <v>#REF!</v>
      </c>
      <c r="I83" s="17" t="e">
        <f>#REF!-18.01056</f>
        <v>#REF!</v>
      </c>
      <c r="J83" s="17" t="e">
        <f>#REF!-18.01056</f>
        <v>#REF!</v>
      </c>
    </row>
  </sheetData>
  <pageMargins left="0.7" right="0.7" top="0.75" bottom="0.75" header="0.3" footer="0.3"/>
  <pageSetup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opLeftCell="L1" workbookViewId="0">
      <selection activeCell="AM17" sqref="AM17"/>
    </sheetView>
  </sheetViews>
  <sheetFormatPr defaultRowHeight="15" x14ac:dyDescent="0.25"/>
  <cols>
    <col min="1" max="11" width="9.140625" hidden="1" customWidth="1"/>
    <col min="24" max="34" width="9.140625" hidden="1" customWidth="1"/>
  </cols>
  <sheetData>
    <row r="1" spans="1:34" x14ac:dyDescent="0.25">
      <c r="O1" t="s">
        <v>77</v>
      </c>
      <c r="Q1" s="24" t="str">
        <f>IF('Mass Ion Calculations'!$D$6="Yes","Cyclic","Linear")</f>
        <v>Cyclic</v>
      </c>
      <c r="R1" s="24" t="str">
        <f>IF('Mass Ion Calculations'!$D$7="Yes","Protected","Deprotected")</f>
        <v>Deprotected</v>
      </c>
      <c r="S1" s="24"/>
      <c r="T1" s="24"/>
      <c r="U1" s="24"/>
      <c r="V1" s="24"/>
    </row>
    <row r="2" spans="1:34" x14ac:dyDescent="0.25">
      <c r="Q2" s="4"/>
      <c r="R2" s="4"/>
      <c r="S2" s="4"/>
      <c r="T2" s="4"/>
      <c r="U2" s="4"/>
      <c r="V2" s="4"/>
    </row>
    <row r="3" spans="1:34" x14ac:dyDescent="0.25">
      <c r="P3" s="4" t="s">
        <v>61</v>
      </c>
    </row>
    <row r="4" spans="1:34" x14ac:dyDescent="0.25">
      <c r="A4" s="6"/>
      <c r="B4" s="6" t="s">
        <v>31</v>
      </c>
      <c r="C4" s="6" t="s">
        <v>16</v>
      </c>
      <c r="D4" s="6" t="s">
        <v>17</v>
      </c>
      <c r="E4" s="6" t="s">
        <v>19</v>
      </c>
      <c r="F4" s="6" t="s">
        <v>20</v>
      </c>
      <c r="G4" s="6" t="s">
        <v>22</v>
      </c>
      <c r="H4" s="6" t="s">
        <v>25</v>
      </c>
      <c r="I4" s="6" t="s">
        <v>79</v>
      </c>
      <c r="J4" s="6" t="s">
        <v>80</v>
      </c>
      <c r="K4" s="6" t="s">
        <v>81</v>
      </c>
      <c r="L4" s="7"/>
      <c r="M4" s="9" t="s">
        <v>43</v>
      </c>
      <c r="N4" s="6" t="s">
        <v>16</v>
      </c>
      <c r="O4" s="6" t="s">
        <v>17</v>
      </c>
      <c r="P4" s="6" t="s">
        <v>19</v>
      </c>
      <c r="Q4" s="6" t="s">
        <v>20</v>
      </c>
      <c r="R4" s="6" t="s">
        <v>22</v>
      </c>
      <c r="S4" s="6" t="s">
        <v>25</v>
      </c>
      <c r="T4" s="6" t="s">
        <v>79</v>
      </c>
      <c r="U4" s="6" t="s">
        <v>80</v>
      </c>
      <c r="V4" s="6" t="s">
        <v>81</v>
      </c>
      <c r="W4" s="7"/>
      <c r="X4" s="27"/>
      <c r="Y4" s="6" t="s">
        <v>16</v>
      </c>
      <c r="Z4" s="6" t="s">
        <v>17</v>
      </c>
      <c r="AA4" s="6" t="s">
        <v>19</v>
      </c>
      <c r="AB4" s="6" t="s">
        <v>20</v>
      </c>
      <c r="AC4" s="6" t="s">
        <v>22</v>
      </c>
      <c r="AD4" s="6" t="s">
        <v>25</v>
      </c>
      <c r="AE4" s="6" t="s">
        <v>79</v>
      </c>
      <c r="AF4" s="6" t="s">
        <v>80</v>
      </c>
      <c r="AG4" s="6" t="s">
        <v>81</v>
      </c>
    </row>
    <row r="5" spans="1:34" x14ac:dyDescent="0.25">
      <c r="A5" s="18" t="str">
        <f>IF('Mass Ion Calculations'!B5="","",'Mass Ion Calculations'!B5)</f>
        <v>Orn(Boc)</v>
      </c>
      <c r="B5">
        <f>IF(A5="","",IF('Mass Ion Calculations'!$D$6="Yes",IF('Mass Ion Calculations'!$D$7="Yes",'Mass Ion Calculations'!$D$18+'Mass Ion Calculations'!C5,'Mass Ion Calculations'!$F$18+'Mass Ion Calculations'!E5),IF('Mass Ion Calculations'!$D$7="Yes", 'Mass Ion Calculations'!$D$15+'Mass Ion Calculations'!C5,'Mass Ion Calculations'!$F$15+'Mass Ion Calculations'!E5)))</f>
        <v>1984.00467</v>
      </c>
      <c r="C5">
        <f>IF(A5="","",B5+'AA Exact Masses'!Q$2)</f>
        <v>1985.0124900000001</v>
      </c>
      <c r="D5">
        <f>IF(A5="","",B5+'AA Exact Masses'!Q$3)</f>
        <v>2006.9944700000001</v>
      </c>
      <c r="E5">
        <f>IF(A5="","",(B5+2*'AA Exact Masses'!Q$2)/2)</f>
        <v>993.01015500000005</v>
      </c>
      <c r="F5">
        <f>IF(A5="","",(B5+2*'AA Exact Masses'!Q$3)/2)</f>
        <v>1014.992135</v>
      </c>
      <c r="G5">
        <f>IF($A5="","",($B5+'AA Exact Masses'!$Q$2+'AA Exact Masses'!$Q$3)/2)</f>
        <v>1004.0011450000001</v>
      </c>
      <c r="H5">
        <f>IF($A5="","",($B5+3*'AA Exact Masses'!$Q$2)/3)</f>
        <v>662.34271000000001</v>
      </c>
      <c r="I5">
        <f>IF($A5="","",($B5+2*'AA Exact Masses'!$Q$2+'AA Exact Masses'!$Q$3)/3)</f>
        <v>669.67003666666676</v>
      </c>
      <c r="J5">
        <f>IF($A5="","",($B5+'AA Exact Masses'!$Q$2+2*'AA Exact Masses'!$Q$3)/3)</f>
        <v>676.99736333333328</v>
      </c>
      <c r="K5">
        <f>IF($A5="","",($B5+3*'AA Exact Masses'!$Q$3)/3)</f>
        <v>684.32469000000003</v>
      </c>
      <c r="L5" s="1"/>
      <c r="M5" s="20" t="str">
        <f t="shared" ref="M5:M53" si="0">A5</f>
        <v>Orn(Boc)</v>
      </c>
      <c r="N5" s="3">
        <f>IF('Mass Ion Calculations'!$Y5=TRUE,(IF(A5="","",C5-'Mass Ion Calculations'!$D$5)),"")</f>
        <v>738.01249000000007</v>
      </c>
      <c r="O5" s="3">
        <f>IF('Mass Ion Calculations'!$Y5=TRUE,(IF(B5="","",D5-'Mass Ion Calculations'!$D$5)),"")</f>
        <v>759.99447000000009</v>
      </c>
      <c r="P5" s="3">
        <f>IF('Mass Ion Calculations'!$Y5=TRUE,(IF(C5="","",E5-'Mass Ion Calculations'!$D$5)),"")</f>
        <v>-253.98984499999995</v>
      </c>
      <c r="Q5" s="3">
        <f>IF('Mass Ion Calculations'!$Y5=TRUE,(IF(D5="","",F5-'Mass Ion Calculations'!$D$5)),"")</f>
        <v>-232.00786500000004</v>
      </c>
      <c r="R5" s="3">
        <f>IF('Mass Ion Calculations'!$Y5=TRUE,(IF(E5="","",G5-'Mass Ion Calculations'!$D$5)),"")</f>
        <v>-242.99885499999993</v>
      </c>
      <c r="S5" s="3">
        <f>IF('Mass Ion Calculations'!$Y5=TRUE,(IF(F5="","",H5-'Mass Ion Calculations'!$D$5)),"")</f>
        <v>-584.65728999999999</v>
      </c>
      <c r="T5" s="3">
        <f>IF('Mass Ion Calculations'!$Y5=TRUE,(IF(G5="","",I5-'Mass Ion Calculations'!$D$5)),"")</f>
        <v>-577.32996333333324</v>
      </c>
      <c r="U5" s="3">
        <f>IF('Mass Ion Calculations'!$Y5=TRUE,(IF(H5="","",J5-'Mass Ion Calculations'!$D$5)),"")</f>
        <v>-570.00263666666672</v>
      </c>
      <c r="V5" s="3">
        <f>IF('Mass Ion Calculations'!$Y5=TRUE,(IF(I5="","",K5-'Mass Ion Calculations'!$D$5)),"")</f>
        <v>-562.67530999999997</v>
      </c>
      <c r="W5" s="2"/>
      <c r="X5">
        <f>Y5:Y29*Z5:Z29*AA5:AA29*AB5:AB29*AC5:AC29*AD5:AD29*AE5:AE29*AF5:AF29*AG5:AG29</f>
        <v>-8.7563327439289704E+23</v>
      </c>
      <c r="Y5" s="3">
        <f>IF(N5="",1,FLOOR(N5,1))</f>
        <v>738</v>
      </c>
      <c r="Z5" s="3">
        <f>IF(O5="",1,FLOOR(O5,1))</f>
        <v>759</v>
      </c>
      <c r="AA5" s="3">
        <f t="shared" ref="AA5:AG20" si="1">IF(P5="",1,FLOOR(P5,1))</f>
        <v>-254</v>
      </c>
      <c r="AB5" s="3">
        <f t="shared" si="1"/>
        <v>-233</v>
      </c>
      <c r="AC5" s="3">
        <f t="shared" si="1"/>
        <v>-243</v>
      </c>
      <c r="AD5" s="3">
        <f t="shared" si="1"/>
        <v>-585</v>
      </c>
      <c r="AE5" s="3">
        <f t="shared" si="1"/>
        <v>-578</v>
      </c>
      <c r="AF5" s="3">
        <f t="shared" si="1"/>
        <v>-571</v>
      </c>
      <c r="AG5" s="3">
        <f t="shared" si="1"/>
        <v>-563</v>
      </c>
      <c r="AH5" t="str">
        <f>M5</f>
        <v>Orn(Boc)</v>
      </c>
    </row>
    <row r="6" spans="1:34" x14ac:dyDescent="0.25">
      <c r="A6" s="19" t="str">
        <f>IF('Mass Ion Calculations'!B6="","",'Mass Ion Calculations'!B6)</f>
        <v>Ala</v>
      </c>
      <c r="B6">
        <f>IF(A6="","",IF('Mass Ion Calculations'!$D$6="Yes",IF('Mass Ion Calculations'!$D$7="Yes",'Mass Ion Calculations'!$D$18+'Mass Ion Calculations'!C6,'Mass Ion Calculations'!$F$18+'Mass Ion Calculations'!E6),IF('Mass Ion Calculations'!$D$7="Yes", 'Mass Ion Calculations'!$D$15+'Mass Ion Calculations'!C6,'Mass Ion Calculations'!$F$15+'Mass Ion Calculations'!E6)))</f>
        <v>1940.96246</v>
      </c>
      <c r="C6">
        <f>IF(A6="","",B6+'AA Exact Masses'!Q$2)</f>
        <v>1941.97028</v>
      </c>
      <c r="D6">
        <f>IF(A6="","",B6+'AA Exact Masses'!Q$3)</f>
        <v>1963.95226</v>
      </c>
      <c r="E6">
        <f>IF(A6="","",(B6+2*'AA Exact Masses'!Q$2)/2)</f>
        <v>971.48905000000002</v>
      </c>
      <c r="F6">
        <f>IF(A6="","",(B6+2*'AA Exact Masses'!Q$3)/2)</f>
        <v>993.47102999999993</v>
      </c>
      <c r="G6">
        <f>IF(A6="","",(B6+'AA Exact Masses'!Q$2+'AA Exact Masses'!Q$3)/2)</f>
        <v>982.48004000000003</v>
      </c>
      <c r="H6">
        <f>IF($A6="","",($B6+3*'AA Exact Masses'!$Q$2)/3)</f>
        <v>647.99530666666669</v>
      </c>
      <c r="I6">
        <f>IF($A6="","",($B6+2*'AA Exact Masses'!$Q$2+'AA Exact Masses'!$Q$3)/3)</f>
        <v>655.32263333333333</v>
      </c>
      <c r="J6">
        <f>IF($A6="","",($B6+'AA Exact Masses'!$Q$2+2*'AA Exact Masses'!$Q$3)/3)</f>
        <v>662.64995999999996</v>
      </c>
      <c r="K6">
        <f>IF($A6="","",($B6+3*'AA Exact Masses'!$Q$3)/3)</f>
        <v>669.9772866666666</v>
      </c>
      <c r="L6" s="1"/>
      <c r="M6" s="21" t="str">
        <f t="shared" si="0"/>
        <v>Ala</v>
      </c>
      <c r="N6" s="3">
        <f>IF('Mass Ion Calculations'!$Y6=TRUE,(IF(A6="","",C6-'Mass Ion Calculations'!$D$5)),"")</f>
        <v>694.97028</v>
      </c>
      <c r="O6" s="3">
        <f>IF('Mass Ion Calculations'!$Y6=TRUE,(IF(B6="","",D6-'Mass Ion Calculations'!$D$5)),"")</f>
        <v>716.95226000000002</v>
      </c>
      <c r="P6" s="3">
        <f>IF('Mass Ion Calculations'!$Y6=TRUE,(IF(C6="","",E6-'Mass Ion Calculations'!$D$5)),"")</f>
        <v>-275.51094999999998</v>
      </c>
      <c r="Q6" s="3">
        <f>IF('Mass Ion Calculations'!$Y6=TRUE,(IF(D6="","",F6-'Mass Ion Calculations'!$D$5)),"")</f>
        <v>-253.52897000000007</v>
      </c>
      <c r="R6" s="3">
        <f>IF('Mass Ion Calculations'!$Y6=TRUE,(IF(E6="","",G6-'Mass Ion Calculations'!$D$5)),"")</f>
        <v>-264.51995999999997</v>
      </c>
      <c r="S6" s="3">
        <f>IF('Mass Ion Calculations'!$Y6=TRUE,(IF(F6="","",H6-'Mass Ion Calculations'!$D$5)),"")</f>
        <v>-599.00469333333331</v>
      </c>
      <c r="T6" s="3">
        <f>IF('Mass Ion Calculations'!$Y6=TRUE,(IF(G6="","",I6-'Mass Ion Calculations'!$D$5)),"")</f>
        <v>-591.67736666666667</v>
      </c>
      <c r="U6" s="3">
        <f>IF('Mass Ion Calculations'!$Y6=TRUE,(IF(H6="","",J6-'Mass Ion Calculations'!$D$5)),"")</f>
        <v>-584.35004000000004</v>
      </c>
      <c r="V6" s="3">
        <f>IF('Mass Ion Calculations'!$Y6=TRUE,(IF(I6="","",K6-'Mass Ion Calculations'!$D$5)),"")</f>
        <v>-577.0227133333334</v>
      </c>
      <c r="W6" s="2"/>
      <c r="X6">
        <f t="shared" ref="X6:X42" si="2">Y6:Y30*Z6:Z15*AA6:AA15*AB6:AB15*AC6:AC15*AD6:AD15*AE6:AE15*AF6:AF15*AG6:AG15</f>
        <v>-1.1087096485486132E+24</v>
      </c>
      <c r="Y6" s="3">
        <f t="shared" ref="Y6:Z42" si="3">IF(N6="",1,FLOOR(N6,1))</f>
        <v>694</v>
      </c>
      <c r="Z6" s="3">
        <f t="shared" si="3"/>
        <v>716</v>
      </c>
      <c r="AA6" s="3">
        <f t="shared" si="1"/>
        <v>-276</v>
      </c>
      <c r="AB6" s="3">
        <f t="shared" si="1"/>
        <v>-254</v>
      </c>
      <c r="AC6" s="3">
        <f t="shared" si="1"/>
        <v>-265</v>
      </c>
      <c r="AD6" s="3">
        <f t="shared" si="1"/>
        <v>-600</v>
      </c>
      <c r="AE6" s="3">
        <f t="shared" si="1"/>
        <v>-592</v>
      </c>
      <c r="AF6" s="3">
        <f t="shared" si="1"/>
        <v>-585</v>
      </c>
      <c r="AG6" s="3">
        <f t="shared" si="1"/>
        <v>-578</v>
      </c>
      <c r="AH6" t="str">
        <f t="shared" ref="AH6:AH40" si="4">M6</f>
        <v>Ala</v>
      </c>
    </row>
    <row r="7" spans="1:34" x14ac:dyDescent="0.25">
      <c r="A7" s="19" t="str">
        <f>IF('Mass Ion Calculations'!B7="","",'Mass Ion Calculations'!B7)</f>
        <v>Ile</v>
      </c>
      <c r="B7">
        <f>IF(A7="","",IF('Mass Ion Calculations'!$D$6="Yes",IF('Mass Ion Calculations'!$D$7="Yes",'Mass Ion Calculations'!$D$18+'Mass Ion Calculations'!C7,'Mass Ion Calculations'!$F$18+'Mass Ion Calculations'!E7),IF('Mass Ion Calculations'!$D$7="Yes", 'Mass Ion Calculations'!$D$15+'Mass Ion Calculations'!C7,'Mass Ion Calculations'!$F$15+'Mass Ion Calculations'!E7)))</f>
        <v>1983.0094099999999</v>
      </c>
      <c r="C7">
        <f>IF(A7="","",B7+'AA Exact Masses'!Q$2)</f>
        <v>1984.0172299999999</v>
      </c>
      <c r="D7">
        <f>IF(A7="","",B7+'AA Exact Masses'!Q$3)</f>
        <v>2005.9992099999999</v>
      </c>
      <c r="E7">
        <f>IF(A7="","",(B7+2*'AA Exact Masses'!Q$2)/2)</f>
        <v>992.51252499999998</v>
      </c>
      <c r="F7">
        <f>IF(A7="","",(B7+2*'AA Exact Masses'!Q$3)/2)</f>
        <v>1014.4945049999999</v>
      </c>
      <c r="G7">
        <f>IF(A7="","",(B7+'AA Exact Masses'!Q$2+'AA Exact Masses'!Q$3)/2)</f>
        <v>1003.503515</v>
      </c>
      <c r="H7">
        <f>IF($A7="","",($B7+3*'AA Exact Masses'!$Q$2)/3)</f>
        <v>662.01095666666663</v>
      </c>
      <c r="I7">
        <f>IF($A7="","",($B7+2*'AA Exact Masses'!$Q$2+'AA Exact Masses'!$Q$3)/3)</f>
        <v>669.33828333333338</v>
      </c>
      <c r="J7">
        <f>IF($A7="","",($B7+'AA Exact Masses'!$Q$2+2*'AA Exact Masses'!$Q$3)/3)</f>
        <v>676.6656099999999</v>
      </c>
      <c r="K7">
        <f>IF($A7="","",($B7+3*'AA Exact Masses'!$Q$3)/3)</f>
        <v>683.99293666666665</v>
      </c>
      <c r="L7" s="1"/>
      <c r="M7" s="21" t="str">
        <f t="shared" si="0"/>
        <v>Ile</v>
      </c>
      <c r="N7" s="3">
        <f>IF('Mass Ion Calculations'!$Y7=TRUE,(IF(A7="","",C7-'Mass Ion Calculations'!$D$5)),"")</f>
        <v>737.01722999999993</v>
      </c>
      <c r="O7" s="3">
        <f>IF('Mass Ion Calculations'!$Y7=TRUE,(IF(B7="","",D7-'Mass Ion Calculations'!$D$5)),"")</f>
        <v>758.99920999999995</v>
      </c>
      <c r="P7" s="3">
        <f>IF('Mass Ion Calculations'!$Y7=TRUE,(IF(C7="","",E7-'Mass Ion Calculations'!$D$5)),"")</f>
        <v>-254.48747500000002</v>
      </c>
      <c r="Q7" s="3">
        <f>IF('Mass Ion Calculations'!$Y7=TRUE,(IF(D7="","",F7-'Mass Ion Calculations'!$D$5)),"")</f>
        <v>-232.50549500000011</v>
      </c>
      <c r="R7" s="3">
        <f>IF('Mass Ion Calculations'!$Y7=TRUE,(IF(E7="","",G7-'Mass Ion Calculations'!$D$5)),"")</f>
        <v>-243.49648500000001</v>
      </c>
      <c r="S7" s="3">
        <f>IF('Mass Ion Calculations'!$Y7=TRUE,(IF(F7="","",H7-'Mass Ion Calculations'!$D$5)),"")</f>
        <v>-584.98904333333337</v>
      </c>
      <c r="T7" s="3">
        <f>IF('Mass Ion Calculations'!$Y7=TRUE,(IF(G7="","",I7-'Mass Ion Calculations'!$D$5)),"")</f>
        <v>-577.66171666666662</v>
      </c>
      <c r="U7" s="3">
        <f>IF('Mass Ion Calculations'!$Y7=TRUE,(IF(H7="","",J7-'Mass Ion Calculations'!$D$5)),"")</f>
        <v>-570.3343900000001</v>
      </c>
      <c r="V7" s="3">
        <f>IF('Mass Ion Calculations'!$Y7=TRUE,(IF(I7="","",K7-'Mass Ion Calculations'!$D$5)),"")</f>
        <v>-563.00706333333335</v>
      </c>
      <c r="W7" s="2"/>
      <c r="X7">
        <f t="shared" si="2"/>
        <v>-8.8190445813768684E+23</v>
      </c>
      <c r="Y7" s="3">
        <f t="shared" si="3"/>
        <v>737</v>
      </c>
      <c r="Z7" s="3">
        <f t="shared" si="3"/>
        <v>758</v>
      </c>
      <c r="AA7" s="3">
        <f t="shared" si="1"/>
        <v>-255</v>
      </c>
      <c r="AB7" s="3">
        <f t="shared" si="1"/>
        <v>-233</v>
      </c>
      <c r="AC7" s="3">
        <f t="shared" si="1"/>
        <v>-244</v>
      </c>
      <c r="AD7" s="3">
        <f t="shared" si="1"/>
        <v>-585</v>
      </c>
      <c r="AE7" s="3">
        <f t="shared" si="1"/>
        <v>-578</v>
      </c>
      <c r="AF7" s="3">
        <f t="shared" si="1"/>
        <v>-571</v>
      </c>
      <c r="AG7" s="3">
        <f t="shared" si="1"/>
        <v>-564</v>
      </c>
      <c r="AH7" t="str">
        <f t="shared" si="4"/>
        <v>Ile</v>
      </c>
    </row>
    <row r="8" spans="1:34" x14ac:dyDescent="0.25">
      <c r="A8" s="19" t="str">
        <f>IF('Mass Ion Calculations'!B8="","",'Mass Ion Calculations'!B8)</f>
        <v>Ile</v>
      </c>
      <c r="B8">
        <f>IF(A8="","",IF('Mass Ion Calculations'!$D$6="Yes",IF('Mass Ion Calculations'!$D$7="Yes",'Mass Ion Calculations'!$D$18+'Mass Ion Calculations'!C8,'Mass Ion Calculations'!$F$18+'Mass Ion Calculations'!E8),IF('Mass Ion Calculations'!$D$7="Yes", 'Mass Ion Calculations'!$D$15+'Mass Ion Calculations'!C8,'Mass Ion Calculations'!$F$15+'Mass Ion Calculations'!E8)))</f>
        <v>1983.0094099999999</v>
      </c>
      <c r="C8">
        <f>IF(A8="","",B8+'AA Exact Masses'!Q$2)</f>
        <v>1984.0172299999999</v>
      </c>
      <c r="D8">
        <f>IF(A8="","",B8+'AA Exact Masses'!Q$3)</f>
        <v>2005.9992099999999</v>
      </c>
      <c r="E8">
        <f>IF(A8="","",(B8+2*'AA Exact Masses'!Q$2)/2)</f>
        <v>992.51252499999998</v>
      </c>
      <c r="F8">
        <f>IF(A8="","",(B8+2*'AA Exact Masses'!Q$3)/2)</f>
        <v>1014.4945049999999</v>
      </c>
      <c r="G8">
        <f>IF(A8="","",(B8+'AA Exact Masses'!Q$2+'AA Exact Masses'!Q$3)/2)</f>
        <v>1003.503515</v>
      </c>
      <c r="H8">
        <f>IF($A8="","",($B8+3*'AA Exact Masses'!$Q$2)/3)</f>
        <v>662.01095666666663</v>
      </c>
      <c r="I8">
        <f>IF($A8="","",($B8+2*'AA Exact Masses'!$Q$2+'AA Exact Masses'!$Q$3)/3)</f>
        <v>669.33828333333338</v>
      </c>
      <c r="J8">
        <f>IF($A8="","",($B8+'AA Exact Masses'!$Q$2+2*'AA Exact Masses'!$Q$3)/3)</f>
        <v>676.6656099999999</v>
      </c>
      <c r="K8">
        <f>IF($A8="","",($B8+3*'AA Exact Masses'!$Q$3)/3)</f>
        <v>683.99293666666665</v>
      </c>
      <c r="L8" s="1"/>
      <c r="M8" s="21" t="str">
        <f t="shared" si="0"/>
        <v>Ile</v>
      </c>
      <c r="N8" s="3">
        <f>IF('Mass Ion Calculations'!$Y8=TRUE,(IF(A8="","",C8-'Mass Ion Calculations'!$D$5)),"")</f>
        <v>737.01722999999993</v>
      </c>
      <c r="O8" s="3">
        <f>IF('Mass Ion Calculations'!$Y8=TRUE,(IF(B8="","",D8-'Mass Ion Calculations'!$D$5)),"")</f>
        <v>758.99920999999995</v>
      </c>
      <c r="P8" s="3">
        <f>IF('Mass Ion Calculations'!$Y8=TRUE,(IF(C8="","",E8-'Mass Ion Calculations'!$D$5)),"")</f>
        <v>-254.48747500000002</v>
      </c>
      <c r="Q8" s="3">
        <f>IF('Mass Ion Calculations'!$Y8=TRUE,(IF(D8="","",F8-'Mass Ion Calculations'!$D$5)),"")</f>
        <v>-232.50549500000011</v>
      </c>
      <c r="R8" s="3">
        <f>IF('Mass Ion Calculations'!$Y8=TRUE,(IF(E8="","",G8-'Mass Ion Calculations'!$D$5)),"")</f>
        <v>-243.49648500000001</v>
      </c>
      <c r="S8" s="3">
        <f>IF('Mass Ion Calculations'!$Y8=TRUE,(IF(F8="","",H8-'Mass Ion Calculations'!$D$5)),"")</f>
        <v>-584.98904333333337</v>
      </c>
      <c r="T8" s="3">
        <f>IF('Mass Ion Calculations'!$Y8=TRUE,(IF(G8="","",I8-'Mass Ion Calculations'!$D$5)),"")</f>
        <v>-577.66171666666662</v>
      </c>
      <c r="U8" s="3">
        <f>IF('Mass Ion Calculations'!$Y8=TRUE,(IF(H8="","",J8-'Mass Ion Calculations'!$D$5)),"")</f>
        <v>-570.3343900000001</v>
      </c>
      <c r="V8" s="3">
        <f>IF('Mass Ion Calculations'!$Y8=TRUE,(IF(I8="","",K8-'Mass Ion Calculations'!$D$5)),"")</f>
        <v>-563.00706333333335</v>
      </c>
      <c r="W8" s="2"/>
      <c r="X8">
        <f t="shared" si="2"/>
        <v>-8.8190445813768684E+23</v>
      </c>
      <c r="Y8" s="3">
        <f t="shared" si="3"/>
        <v>737</v>
      </c>
      <c r="Z8" s="3">
        <f t="shared" si="3"/>
        <v>758</v>
      </c>
      <c r="AA8" s="3">
        <f t="shared" si="1"/>
        <v>-255</v>
      </c>
      <c r="AB8" s="3">
        <f t="shared" si="1"/>
        <v>-233</v>
      </c>
      <c r="AC8" s="3">
        <f t="shared" si="1"/>
        <v>-244</v>
      </c>
      <c r="AD8" s="3">
        <f t="shared" si="1"/>
        <v>-585</v>
      </c>
      <c r="AE8" s="3">
        <f t="shared" si="1"/>
        <v>-578</v>
      </c>
      <c r="AF8" s="3">
        <f t="shared" si="1"/>
        <v>-571</v>
      </c>
      <c r="AG8" s="3">
        <f t="shared" si="1"/>
        <v>-564</v>
      </c>
      <c r="AH8" t="str">
        <f t="shared" si="4"/>
        <v>Ile</v>
      </c>
    </row>
    <row r="9" spans="1:34" x14ac:dyDescent="0.25">
      <c r="A9" s="19" t="str">
        <f>IF('Mass Ion Calculations'!B9="","",'Mass Ion Calculations'!B9)</f>
        <v>N-Meth-Gly</v>
      </c>
      <c r="B9">
        <f>IF(A9="","",IF('Mass Ion Calculations'!$D$6="Yes",IF('Mass Ion Calculations'!$D$7="Yes",'Mass Ion Calculations'!$D$18+'Mass Ion Calculations'!C9,'Mass Ion Calculations'!$F$18+'Mass Ion Calculations'!E9),IF('Mass Ion Calculations'!$D$7="Yes", 'Mass Ion Calculations'!$D$15+'Mass Ion Calculations'!C9,'Mass Ion Calculations'!$F$15+'Mass Ion Calculations'!E9)))</f>
        <v>1940.96246</v>
      </c>
      <c r="C9">
        <f>IF(A9="","",B9+'AA Exact Masses'!Q$2)</f>
        <v>1941.97028</v>
      </c>
      <c r="D9">
        <f>IF(A9="","",B9+'AA Exact Masses'!Q$3)</f>
        <v>1963.95226</v>
      </c>
      <c r="E9">
        <f>IF(A9="","",(B9+2*'AA Exact Masses'!Q$2)/2)</f>
        <v>971.48905000000002</v>
      </c>
      <c r="F9">
        <f>IF(A9="","",(B9+2*'AA Exact Masses'!Q$3)/2)</f>
        <v>993.47102999999993</v>
      </c>
      <c r="G9">
        <f>IF(A9="","",(B9+'AA Exact Masses'!Q$2+'AA Exact Masses'!Q$3)/2)</f>
        <v>982.48004000000003</v>
      </c>
      <c r="H9">
        <f>IF($A9="","",($B9+3*'AA Exact Masses'!$Q$2)/3)</f>
        <v>647.99530666666669</v>
      </c>
      <c r="I9">
        <f>IF($A9="","",($B9+2*'AA Exact Masses'!$Q$2+'AA Exact Masses'!$Q$3)/3)</f>
        <v>655.32263333333333</v>
      </c>
      <c r="J9">
        <f>IF($A9="","",($B9+'AA Exact Masses'!$Q$2+2*'AA Exact Masses'!$Q$3)/3)</f>
        <v>662.64995999999996</v>
      </c>
      <c r="K9">
        <f>IF($A9="","",($B9+3*'AA Exact Masses'!$Q$3)/3)</f>
        <v>669.9772866666666</v>
      </c>
      <c r="L9" s="1"/>
      <c r="M9" s="21" t="str">
        <f t="shared" si="0"/>
        <v>N-Meth-Gly</v>
      </c>
      <c r="N9" s="3">
        <f>IF('Mass Ion Calculations'!$Y9=TRUE,(IF(A9="","",C9-'Mass Ion Calculations'!$D$5)),"")</f>
        <v>694.97028</v>
      </c>
      <c r="O9" s="3">
        <f>IF('Mass Ion Calculations'!$Y9=TRUE,(IF(B9="","",D9-'Mass Ion Calculations'!$D$5)),"")</f>
        <v>716.95226000000002</v>
      </c>
      <c r="P9" s="3">
        <f>IF('Mass Ion Calculations'!$Y9=TRUE,(IF(C9="","",E9-'Mass Ion Calculations'!$D$5)),"")</f>
        <v>-275.51094999999998</v>
      </c>
      <c r="Q9" s="3">
        <f>IF('Mass Ion Calculations'!$Y9=TRUE,(IF(D9="","",F9-'Mass Ion Calculations'!$D$5)),"")</f>
        <v>-253.52897000000007</v>
      </c>
      <c r="R9" s="3">
        <f>IF('Mass Ion Calculations'!$Y9=TRUE,(IF(E9="","",G9-'Mass Ion Calculations'!$D$5)),"")</f>
        <v>-264.51995999999997</v>
      </c>
      <c r="S9" s="3">
        <f>IF('Mass Ion Calculations'!$Y9=TRUE,(IF(F9="","",H9-'Mass Ion Calculations'!$D$5)),"")</f>
        <v>-599.00469333333331</v>
      </c>
      <c r="T9" s="3">
        <f>IF('Mass Ion Calculations'!$Y9=TRUE,(IF(G9="","",I9-'Mass Ion Calculations'!$D$5)),"")</f>
        <v>-591.67736666666667</v>
      </c>
      <c r="U9" s="3">
        <f>IF('Mass Ion Calculations'!$Y9=TRUE,(IF(H9="","",J9-'Mass Ion Calculations'!$D$5)),"")</f>
        <v>-584.35004000000004</v>
      </c>
      <c r="V9" s="3">
        <f>IF('Mass Ion Calculations'!$Y9=TRUE,(IF(I9="","",K9-'Mass Ion Calculations'!$D$5)),"")</f>
        <v>-577.0227133333334</v>
      </c>
      <c r="W9" s="2"/>
      <c r="X9">
        <f t="shared" si="2"/>
        <v>-1.1087096485486132E+24</v>
      </c>
      <c r="Y9" s="3">
        <f t="shared" si="3"/>
        <v>694</v>
      </c>
      <c r="Z9" s="3">
        <f t="shared" si="3"/>
        <v>716</v>
      </c>
      <c r="AA9" s="3">
        <f t="shared" si="1"/>
        <v>-276</v>
      </c>
      <c r="AB9" s="3">
        <f t="shared" si="1"/>
        <v>-254</v>
      </c>
      <c r="AC9" s="3">
        <f t="shared" si="1"/>
        <v>-265</v>
      </c>
      <c r="AD9" s="3">
        <f t="shared" si="1"/>
        <v>-600</v>
      </c>
      <c r="AE9" s="3">
        <f t="shared" si="1"/>
        <v>-592</v>
      </c>
      <c r="AF9" s="3">
        <f t="shared" si="1"/>
        <v>-585</v>
      </c>
      <c r="AG9" s="3">
        <f t="shared" si="1"/>
        <v>-578</v>
      </c>
      <c r="AH9" t="str">
        <f t="shared" si="4"/>
        <v>N-Meth-Gly</v>
      </c>
    </row>
    <row r="10" spans="1:34" x14ac:dyDescent="0.25">
      <c r="A10" s="19" t="str">
        <f>IF('Mass Ion Calculations'!B10="","",'Mass Ion Calculations'!B10)</f>
        <v>Leu</v>
      </c>
      <c r="B10">
        <f>IF(A10="","",IF('Mass Ion Calculations'!$D$6="Yes",IF('Mass Ion Calculations'!$D$7="Yes",'Mass Ion Calculations'!$D$18+'Mass Ion Calculations'!C10,'Mass Ion Calculations'!$F$18+'Mass Ion Calculations'!E10),IF('Mass Ion Calculations'!$D$7="Yes", 'Mass Ion Calculations'!$D$15+'Mass Ion Calculations'!C10,'Mass Ion Calculations'!$F$15+'Mass Ion Calculations'!E10)))</f>
        <v>1983.0094099999999</v>
      </c>
      <c r="C10">
        <f>IF(A10="","",B10+'AA Exact Masses'!Q$2)</f>
        <v>1984.0172299999999</v>
      </c>
      <c r="D10">
        <f>IF(A10="","",B10+'AA Exact Masses'!Q$3)</f>
        <v>2005.9992099999999</v>
      </c>
      <c r="E10">
        <f>IF(A10="","",(B10+2*'AA Exact Masses'!Q$2)/2)</f>
        <v>992.51252499999998</v>
      </c>
      <c r="F10">
        <f>IF(A10="","",(B10+2*'AA Exact Masses'!Q$3)/2)</f>
        <v>1014.4945049999999</v>
      </c>
      <c r="G10">
        <f>IF(A10="","",(B10+'AA Exact Masses'!Q$2+'AA Exact Masses'!Q$3)/2)</f>
        <v>1003.503515</v>
      </c>
      <c r="H10">
        <f>IF($A10="","",($B10+3*'AA Exact Masses'!$Q$2)/3)</f>
        <v>662.01095666666663</v>
      </c>
      <c r="I10">
        <f>IF($A10="","",($B10+2*'AA Exact Masses'!$Q$2+'AA Exact Masses'!$Q$3)/3)</f>
        <v>669.33828333333338</v>
      </c>
      <c r="J10">
        <f>IF($A10="","",($B10+'AA Exact Masses'!$Q$2+2*'AA Exact Masses'!$Q$3)/3)</f>
        <v>676.6656099999999</v>
      </c>
      <c r="K10">
        <f>IF($A10="","",($B10+3*'AA Exact Masses'!$Q$3)/3)</f>
        <v>683.99293666666665</v>
      </c>
      <c r="L10" s="1"/>
      <c r="M10" s="21" t="str">
        <f t="shared" si="0"/>
        <v>Leu</v>
      </c>
      <c r="N10" s="3">
        <f>IF('Mass Ion Calculations'!$Y10=TRUE,(IF(A10="","",C10-'Mass Ion Calculations'!$D$5)),"")</f>
        <v>737.01722999999993</v>
      </c>
      <c r="O10" s="3">
        <f>IF('Mass Ion Calculations'!$Y10=TRUE,(IF(B10="","",D10-'Mass Ion Calculations'!$D$5)),"")</f>
        <v>758.99920999999995</v>
      </c>
      <c r="P10" s="3">
        <f>IF('Mass Ion Calculations'!$Y10=TRUE,(IF(C10="","",E10-'Mass Ion Calculations'!$D$5)),"")</f>
        <v>-254.48747500000002</v>
      </c>
      <c r="Q10" s="3">
        <f>IF('Mass Ion Calculations'!$Y10=TRUE,(IF(D10="","",F10-'Mass Ion Calculations'!$D$5)),"")</f>
        <v>-232.50549500000011</v>
      </c>
      <c r="R10" s="3">
        <f>IF('Mass Ion Calculations'!$Y10=TRUE,(IF(E10="","",G10-'Mass Ion Calculations'!$D$5)),"")</f>
        <v>-243.49648500000001</v>
      </c>
      <c r="S10" s="3">
        <f>IF('Mass Ion Calculations'!$Y10=TRUE,(IF(F10="","",H10-'Mass Ion Calculations'!$D$5)),"")</f>
        <v>-584.98904333333337</v>
      </c>
      <c r="T10" s="3">
        <f>IF('Mass Ion Calculations'!$Y10=TRUE,(IF(G10="","",I10-'Mass Ion Calculations'!$D$5)),"")</f>
        <v>-577.66171666666662</v>
      </c>
      <c r="U10" s="3">
        <f>IF('Mass Ion Calculations'!$Y10=TRUE,(IF(H10="","",J10-'Mass Ion Calculations'!$D$5)),"")</f>
        <v>-570.3343900000001</v>
      </c>
      <c r="V10" s="3">
        <f>IF('Mass Ion Calculations'!$Y10=TRUE,(IF(I10="","",K10-'Mass Ion Calculations'!$D$5)),"")</f>
        <v>-563.00706333333335</v>
      </c>
      <c r="W10" s="2"/>
      <c r="X10">
        <f t="shared" si="2"/>
        <v>-8.8190445813768684E+23</v>
      </c>
      <c r="Y10" s="3">
        <f t="shared" si="3"/>
        <v>737</v>
      </c>
      <c r="Z10" s="3">
        <f t="shared" si="3"/>
        <v>758</v>
      </c>
      <c r="AA10" s="3">
        <f t="shared" si="1"/>
        <v>-255</v>
      </c>
      <c r="AB10" s="3">
        <f t="shared" si="1"/>
        <v>-233</v>
      </c>
      <c r="AC10" s="3">
        <f t="shared" si="1"/>
        <v>-244</v>
      </c>
      <c r="AD10" s="3">
        <f t="shared" si="1"/>
        <v>-585</v>
      </c>
      <c r="AE10" s="3">
        <f t="shared" si="1"/>
        <v>-578</v>
      </c>
      <c r="AF10" s="3">
        <f t="shared" si="1"/>
        <v>-571</v>
      </c>
      <c r="AG10" s="3">
        <f t="shared" si="1"/>
        <v>-564</v>
      </c>
      <c r="AH10" t="str">
        <f t="shared" si="4"/>
        <v>Leu</v>
      </c>
    </row>
    <row r="11" spans="1:34" x14ac:dyDescent="0.25">
      <c r="A11" s="19" t="str">
        <f>IF('Mass Ion Calculations'!B11="","",'Mass Ion Calculations'!B11)</f>
        <v>Orn(Boc)</v>
      </c>
      <c r="B11">
        <f>IF(A11="","",IF('Mass Ion Calculations'!$D$6="Yes",IF('Mass Ion Calculations'!$D$7="Yes",'Mass Ion Calculations'!$D$18+'Mass Ion Calculations'!C11,'Mass Ion Calculations'!$F$18+'Mass Ion Calculations'!E11),IF('Mass Ion Calculations'!$D$7="Yes", 'Mass Ion Calculations'!$D$15+'Mass Ion Calculations'!C11,'Mass Ion Calculations'!$F$15+'Mass Ion Calculations'!E11)))</f>
        <v>1984.00467</v>
      </c>
      <c r="C11">
        <f>IF(A11="","",B11+'AA Exact Masses'!Q$2)</f>
        <v>1985.0124900000001</v>
      </c>
      <c r="D11">
        <f>IF(A11="","",B11+'AA Exact Masses'!Q$3)</f>
        <v>2006.9944700000001</v>
      </c>
      <c r="E11">
        <f>IF(A11="","",(B11+2*'AA Exact Masses'!Q$2)/2)</f>
        <v>993.01015500000005</v>
      </c>
      <c r="F11">
        <f>IF(A11="","",(B11+2*'AA Exact Masses'!Q$3)/2)</f>
        <v>1014.992135</v>
      </c>
      <c r="G11">
        <f>IF(A11="","",(B11+'AA Exact Masses'!Q$2+'AA Exact Masses'!Q$3)/2)</f>
        <v>1004.0011450000001</v>
      </c>
      <c r="H11">
        <f>IF($A11="","",($B11+3*'AA Exact Masses'!$Q$2)/3)</f>
        <v>662.34271000000001</v>
      </c>
      <c r="I11">
        <f>IF($A11="","",($B11+2*'AA Exact Masses'!$Q$2+'AA Exact Masses'!$Q$3)/3)</f>
        <v>669.67003666666676</v>
      </c>
      <c r="J11">
        <f>IF($A11="","",($B11+'AA Exact Masses'!$Q$2+2*'AA Exact Masses'!$Q$3)/3)</f>
        <v>676.99736333333328</v>
      </c>
      <c r="K11">
        <f>IF($A11="","",($B11+3*'AA Exact Masses'!$Q$3)/3)</f>
        <v>684.32469000000003</v>
      </c>
      <c r="L11" s="1"/>
      <c r="M11" s="21" t="str">
        <f t="shared" si="0"/>
        <v>Orn(Boc)</v>
      </c>
      <c r="N11" s="3">
        <f>IF('Mass Ion Calculations'!$Y11=TRUE,(IF(A11="","",C11-'Mass Ion Calculations'!$D$5)),"")</f>
        <v>738.01249000000007</v>
      </c>
      <c r="O11" s="3">
        <f>IF('Mass Ion Calculations'!$Y11=TRUE,(IF(B11="","",D11-'Mass Ion Calculations'!$D$5)),"")</f>
        <v>759.99447000000009</v>
      </c>
      <c r="P11" s="3">
        <f>IF('Mass Ion Calculations'!$Y11=TRUE,(IF(C11="","",E11-'Mass Ion Calculations'!$D$5)),"")</f>
        <v>-253.98984499999995</v>
      </c>
      <c r="Q11" s="3">
        <f>IF('Mass Ion Calculations'!$Y11=TRUE,(IF(D11="","",F11-'Mass Ion Calculations'!$D$5)),"")</f>
        <v>-232.00786500000004</v>
      </c>
      <c r="R11" s="3">
        <f>IF('Mass Ion Calculations'!$Y11=TRUE,(IF(E11="","",G11-'Mass Ion Calculations'!$D$5)),"")</f>
        <v>-242.99885499999993</v>
      </c>
      <c r="S11" s="3">
        <f>IF('Mass Ion Calculations'!$Y11=TRUE,(IF(F11="","",H11-'Mass Ion Calculations'!$D$5)),"")</f>
        <v>-584.65728999999999</v>
      </c>
      <c r="T11" s="3">
        <f>IF('Mass Ion Calculations'!$Y11=TRUE,(IF(G11="","",I11-'Mass Ion Calculations'!$D$5)),"")</f>
        <v>-577.32996333333324</v>
      </c>
      <c r="U11" s="3">
        <f>IF('Mass Ion Calculations'!$Y11=TRUE,(IF(H11="","",J11-'Mass Ion Calculations'!$D$5)),"")</f>
        <v>-570.00263666666672</v>
      </c>
      <c r="V11" s="3">
        <f>IF('Mass Ion Calculations'!$Y11=TRUE,(IF(I11="","",K11-'Mass Ion Calculations'!$D$5)),"")</f>
        <v>-562.67530999999997</v>
      </c>
      <c r="W11" s="2"/>
      <c r="X11">
        <f t="shared" si="2"/>
        <v>-8.7563327439289704E+23</v>
      </c>
      <c r="Y11" s="3">
        <f t="shared" si="3"/>
        <v>738</v>
      </c>
      <c r="Z11" s="3">
        <f t="shared" si="3"/>
        <v>759</v>
      </c>
      <c r="AA11" s="3">
        <f t="shared" si="1"/>
        <v>-254</v>
      </c>
      <c r="AB11" s="3">
        <f t="shared" si="1"/>
        <v>-233</v>
      </c>
      <c r="AC11" s="3">
        <f t="shared" si="1"/>
        <v>-243</v>
      </c>
      <c r="AD11" s="3">
        <f t="shared" si="1"/>
        <v>-585</v>
      </c>
      <c r="AE11" s="3">
        <f t="shared" si="1"/>
        <v>-578</v>
      </c>
      <c r="AF11" s="3">
        <f t="shared" si="1"/>
        <v>-571</v>
      </c>
      <c r="AG11" s="3">
        <f t="shared" si="1"/>
        <v>-563</v>
      </c>
      <c r="AH11" t="str">
        <f t="shared" si="4"/>
        <v>Orn(Boc)</v>
      </c>
    </row>
    <row r="12" spans="1:34" x14ac:dyDescent="0.25">
      <c r="A12" s="19" t="str">
        <f>IF('Mass Ion Calculations'!B12="","",'Mass Ion Calculations'!B12)</f>
        <v>Val</v>
      </c>
      <c r="B12">
        <f>IF(A12="","",IF('Mass Ion Calculations'!$D$6="Yes",IF('Mass Ion Calculations'!$D$7="Yes",'Mass Ion Calculations'!$D$18+'Mass Ion Calculations'!C12,'Mass Ion Calculations'!$F$18+'Mass Ion Calculations'!E12),IF('Mass Ion Calculations'!$D$7="Yes", 'Mass Ion Calculations'!$D$15+'Mass Ion Calculations'!C12,'Mass Ion Calculations'!$F$15+'Mass Ion Calculations'!E12)))</f>
        <v>1968.9937600000001</v>
      </c>
      <c r="C12">
        <f>IF(A12="","",B12+'AA Exact Masses'!Q$2)</f>
        <v>1970.0015800000001</v>
      </c>
      <c r="D12">
        <f>IF(A12="","",B12+'AA Exact Masses'!Q$3)</f>
        <v>1991.9835600000001</v>
      </c>
      <c r="E12">
        <f>IF(A12="","",(B12+2*'AA Exact Masses'!Q$2)/2)</f>
        <v>985.50470000000007</v>
      </c>
      <c r="F12">
        <f>IF(A12="","",(B12+2*'AA Exact Masses'!Q$3)/2)</f>
        <v>1007.48668</v>
      </c>
      <c r="G12">
        <f>IF(A12="","",(B12+'AA Exact Masses'!Q$2+'AA Exact Masses'!Q$3)/2)</f>
        <v>996.49569000000008</v>
      </c>
      <c r="H12">
        <f>IF($A12="","",($B12+3*'AA Exact Masses'!$Q$2)/3)</f>
        <v>657.33907333333343</v>
      </c>
      <c r="I12">
        <f>IF($A12="","",($B12+2*'AA Exact Masses'!$Q$2+'AA Exact Masses'!$Q$3)/3)</f>
        <v>664.66640000000007</v>
      </c>
      <c r="J12">
        <f>IF($A12="","",($B12+'AA Exact Masses'!$Q$2+2*'AA Exact Masses'!$Q$3)/3)</f>
        <v>671.9937266666667</v>
      </c>
      <c r="K12">
        <f>IF($A12="","",($B12+3*'AA Exact Masses'!$Q$3)/3)</f>
        <v>679.32105333333334</v>
      </c>
      <c r="L12" s="1"/>
      <c r="M12" s="21" t="str">
        <f t="shared" si="0"/>
        <v>Val</v>
      </c>
      <c r="N12" s="3">
        <f>IF('Mass Ion Calculations'!$Y12=TRUE,(IF(A12="","",C12-'Mass Ion Calculations'!$D$5)),"")</f>
        <v>723.0015800000001</v>
      </c>
      <c r="O12" s="3">
        <f>IF('Mass Ion Calculations'!$Y12=TRUE,(IF(B12="","",D12-'Mass Ion Calculations'!$D$5)),"")</f>
        <v>744.98356000000013</v>
      </c>
      <c r="P12" s="3">
        <f>IF('Mass Ion Calculations'!$Y12=TRUE,(IF(C12="","",E12-'Mass Ion Calculations'!$D$5)),"")</f>
        <v>-261.49529999999993</v>
      </c>
      <c r="Q12" s="3">
        <f>IF('Mass Ion Calculations'!$Y12=TRUE,(IF(D12="","",F12-'Mass Ion Calculations'!$D$5)),"")</f>
        <v>-239.51332000000002</v>
      </c>
      <c r="R12" s="3">
        <f>IF('Mass Ion Calculations'!$Y12=TRUE,(IF(E12="","",G12-'Mass Ion Calculations'!$D$5)),"")</f>
        <v>-250.50430999999992</v>
      </c>
      <c r="S12" s="3">
        <f>IF('Mass Ion Calculations'!$Y12=TRUE,(IF(F12="","",H12-'Mass Ion Calculations'!$D$5)),"")</f>
        <v>-589.66092666666657</v>
      </c>
      <c r="T12" s="3">
        <f>IF('Mass Ion Calculations'!$Y12=TRUE,(IF(G12="","",I12-'Mass Ion Calculations'!$D$5)),"")</f>
        <v>-582.33359999999993</v>
      </c>
      <c r="U12" s="3">
        <f>IF('Mass Ion Calculations'!$Y12=TRUE,(IF(H12="","",J12-'Mass Ion Calculations'!$D$5)),"")</f>
        <v>-575.0062733333333</v>
      </c>
      <c r="V12" s="3">
        <f>IF('Mass Ion Calculations'!$Y12=TRUE,(IF(I12="","",K12-'Mass Ion Calculations'!$D$5)),"")</f>
        <v>-567.67894666666666</v>
      </c>
      <c r="W12" s="2"/>
      <c r="X12">
        <f t="shared" si="2"/>
        <v>-9.554079987026716E+23</v>
      </c>
      <c r="Y12" s="3">
        <f t="shared" si="3"/>
        <v>723</v>
      </c>
      <c r="Z12" s="3">
        <f t="shared" si="3"/>
        <v>744</v>
      </c>
      <c r="AA12" s="3">
        <f t="shared" si="1"/>
        <v>-262</v>
      </c>
      <c r="AB12" s="3">
        <f t="shared" si="1"/>
        <v>-240</v>
      </c>
      <c r="AC12" s="3">
        <f t="shared" si="1"/>
        <v>-251</v>
      </c>
      <c r="AD12" s="3">
        <f t="shared" si="1"/>
        <v>-590</v>
      </c>
      <c r="AE12" s="3">
        <f t="shared" si="1"/>
        <v>-583</v>
      </c>
      <c r="AF12" s="3">
        <f t="shared" si="1"/>
        <v>-576</v>
      </c>
      <c r="AG12" s="3">
        <f t="shared" si="1"/>
        <v>-568</v>
      </c>
      <c r="AH12" t="str">
        <f t="shared" si="4"/>
        <v>Val</v>
      </c>
    </row>
    <row r="13" spans="1:34" x14ac:dyDescent="0.25">
      <c r="A13" s="19" t="str">
        <f>IF('Mass Ion Calculations'!B13="","",'Mass Ion Calculations'!B13)</f>
        <v>Orn(Boc)</v>
      </c>
      <c r="B13">
        <f>IF(A13="","",IF('Mass Ion Calculations'!$D$6="Yes",IF('Mass Ion Calculations'!$D$7="Yes",'Mass Ion Calculations'!$D$18+'Mass Ion Calculations'!C13,'Mass Ion Calculations'!$F$18+'Mass Ion Calculations'!E13),IF('Mass Ion Calculations'!$D$7="Yes", 'Mass Ion Calculations'!$D$15+'Mass Ion Calculations'!C13,'Mass Ion Calculations'!$F$15+'Mass Ion Calculations'!E13)))</f>
        <v>1984.00467</v>
      </c>
      <c r="C13">
        <f>IF(A13="","",B13+'AA Exact Masses'!Q$2)</f>
        <v>1985.0124900000001</v>
      </c>
      <c r="D13">
        <f>IF(A13="","",B13+'AA Exact Masses'!Q$3)</f>
        <v>2006.9944700000001</v>
      </c>
      <c r="E13">
        <f>IF(A13="","",(B13+2*'AA Exact Masses'!Q$2)/2)</f>
        <v>993.01015500000005</v>
      </c>
      <c r="F13">
        <f>IF(A13="","",(B13+2*'AA Exact Masses'!Q$3)/2)</f>
        <v>1014.992135</v>
      </c>
      <c r="G13">
        <f>IF(A13="","",(B13+'AA Exact Masses'!Q$2+'AA Exact Masses'!Q$3)/2)</f>
        <v>1004.0011450000001</v>
      </c>
      <c r="H13">
        <f>IF($A13="","",($B13+3*'AA Exact Masses'!$Q$2)/3)</f>
        <v>662.34271000000001</v>
      </c>
      <c r="I13">
        <f>IF($A13="","",($B13+2*'AA Exact Masses'!$Q$2+'AA Exact Masses'!$Q$3)/3)</f>
        <v>669.67003666666676</v>
      </c>
      <c r="J13">
        <f>IF($A13="","",($B13+'AA Exact Masses'!$Q$2+2*'AA Exact Masses'!$Q$3)/3)</f>
        <v>676.99736333333328</v>
      </c>
      <c r="K13">
        <f>IF($A13="","",($B13+3*'AA Exact Masses'!$Q$3)/3)</f>
        <v>684.32469000000003</v>
      </c>
      <c r="L13" s="1"/>
      <c r="M13" s="21" t="str">
        <f t="shared" si="0"/>
        <v>Orn(Boc)</v>
      </c>
      <c r="N13" s="3">
        <f>IF('Mass Ion Calculations'!$Y13=TRUE,(IF(A13="","",C13-'Mass Ion Calculations'!$D$5)),"")</f>
        <v>738.01249000000007</v>
      </c>
      <c r="O13" s="3">
        <f>IF('Mass Ion Calculations'!$Y13=TRUE,(IF(B13="","",D13-'Mass Ion Calculations'!$D$5)),"")</f>
        <v>759.99447000000009</v>
      </c>
      <c r="P13" s="3">
        <f>IF('Mass Ion Calculations'!$Y13=TRUE,(IF(C13="","",E13-'Mass Ion Calculations'!$D$5)),"")</f>
        <v>-253.98984499999995</v>
      </c>
      <c r="Q13" s="3">
        <f>IF('Mass Ion Calculations'!$Y13=TRUE,(IF(D13="","",F13-'Mass Ion Calculations'!$D$5)),"")</f>
        <v>-232.00786500000004</v>
      </c>
      <c r="R13" s="3">
        <f>IF('Mass Ion Calculations'!$Y13=TRUE,(IF(E13="","",G13-'Mass Ion Calculations'!$D$5)),"")</f>
        <v>-242.99885499999993</v>
      </c>
      <c r="S13" s="3">
        <f>IF('Mass Ion Calculations'!$Y13=TRUE,(IF(F13="","",H13-'Mass Ion Calculations'!$D$5)),"")</f>
        <v>-584.65728999999999</v>
      </c>
      <c r="T13" s="3">
        <f>IF('Mass Ion Calculations'!$Y13=TRUE,(IF(G13="","",I13-'Mass Ion Calculations'!$D$5)),"")</f>
        <v>-577.32996333333324</v>
      </c>
      <c r="U13" s="3">
        <f>IF('Mass Ion Calculations'!$Y13=TRUE,(IF(H13="","",J13-'Mass Ion Calculations'!$D$5)),"")</f>
        <v>-570.00263666666672</v>
      </c>
      <c r="V13" s="3">
        <f>IF('Mass Ion Calculations'!$Y13=TRUE,(IF(I13="","",K13-'Mass Ion Calculations'!$D$5)),"")</f>
        <v>-562.67530999999997</v>
      </c>
      <c r="W13" s="2"/>
      <c r="X13">
        <f t="shared" si="2"/>
        <v>-8.7563327439289704E+23</v>
      </c>
      <c r="Y13" s="3">
        <f t="shared" si="3"/>
        <v>738</v>
      </c>
      <c r="Z13" s="3">
        <f t="shared" si="3"/>
        <v>759</v>
      </c>
      <c r="AA13" s="3">
        <f t="shared" si="1"/>
        <v>-254</v>
      </c>
      <c r="AB13" s="3">
        <f t="shared" si="1"/>
        <v>-233</v>
      </c>
      <c r="AC13" s="3">
        <f t="shared" si="1"/>
        <v>-243</v>
      </c>
      <c r="AD13" s="3">
        <f t="shared" si="1"/>
        <v>-585</v>
      </c>
      <c r="AE13" s="3">
        <f t="shared" si="1"/>
        <v>-578</v>
      </c>
      <c r="AF13" s="3">
        <f t="shared" si="1"/>
        <v>-571</v>
      </c>
      <c r="AG13" s="3">
        <f t="shared" si="1"/>
        <v>-563</v>
      </c>
      <c r="AH13" t="str">
        <f t="shared" si="4"/>
        <v>Orn(Boc)</v>
      </c>
    </row>
    <row r="14" spans="1:34" x14ac:dyDescent="0.25">
      <c r="A14" s="19" t="str">
        <f>IF('Mass Ion Calculations'!B14="","",'Mass Ion Calculations'!B14)</f>
        <v>Glu(OtBu)</v>
      </c>
      <c r="B14">
        <f>IF(A14="","",IF('Mass Ion Calculations'!$D$6="Yes",IF('Mass Ion Calculations'!$D$7="Yes",'Mass Ion Calculations'!$D$18+'Mass Ion Calculations'!C14,'Mass Ion Calculations'!$F$18+'Mass Ion Calculations'!E14),IF('Mass Ion Calculations'!$D$7="Yes", 'Mass Ion Calculations'!$D$15+'Mass Ion Calculations'!C14,'Mass Ion Calculations'!$F$15+'Mass Ion Calculations'!E14)))</f>
        <v>1998.96794</v>
      </c>
      <c r="C14">
        <f>IF(A14="","",B14+'AA Exact Masses'!Q$2)</f>
        <v>1999.97576</v>
      </c>
      <c r="D14">
        <f>IF(A14="","",B14+'AA Exact Masses'!Q$3)</f>
        <v>2021.9577400000001</v>
      </c>
      <c r="E14">
        <f>IF(A14="","",(B14+2*'AA Exact Masses'!Q$2)/2)</f>
        <v>1000.49179</v>
      </c>
      <c r="F14">
        <f>IF(A14="","",(B14+2*'AA Exact Masses'!Q$3)/2)</f>
        <v>1022.4737699999999</v>
      </c>
      <c r="G14">
        <f>IF(A14="","",(B14+'AA Exact Masses'!Q$2+'AA Exact Masses'!Q$3)/2)</f>
        <v>1011.48278</v>
      </c>
      <c r="H14">
        <f>IF($A14="","",($B14+3*'AA Exact Masses'!$Q$2)/3)</f>
        <v>667.33046666666667</v>
      </c>
      <c r="I14">
        <f>IF($A14="","",($B14+2*'AA Exact Masses'!$Q$2+'AA Exact Masses'!$Q$3)/3)</f>
        <v>674.65779333333342</v>
      </c>
      <c r="J14">
        <f>IF($A14="","",($B14+'AA Exact Masses'!$Q$2+2*'AA Exact Masses'!$Q$3)/3)</f>
        <v>681.98511999999994</v>
      </c>
      <c r="K14">
        <f>IF($A14="","",($B14+3*'AA Exact Masses'!$Q$3)/3)</f>
        <v>689.31244666666669</v>
      </c>
      <c r="L14" s="1"/>
      <c r="M14" s="21" t="str">
        <f t="shared" si="0"/>
        <v>Glu(OtBu)</v>
      </c>
      <c r="N14" s="3">
        <f>IF('Mass Ion Calculations'!$Y14=TRUE,(IF(A14="","",C14-'Mass Ion Calculations'!$D$5)),"")</f>
        <v>752.97576000000004</v>
      </c>
      <c r="O14" s="3">
        <f>IF('Mass Ion Calculations'!$Y14=TRUE,(IF(B14="","",D14-'Mass Ion Calculations'!$D$5)),"")</f>
        <v>774.95774000000006</v>
      </c>
      <c r="P14" s="3">
        <f>IF('Mass Ion Calculations'!$Y14=TRUE,(IF(C14="","",E14-'Mass Ion Calculations'!$D$5)),"")</f>
        <v>-246.50820999999996</v>
      </c>
      <c r="Q14" s="3">
        <f>IF('Mass Ion Calculations'!$Y14=TRUE,(IF(D14="","",F14-'Mass Ion Calculations'!$D$5)),"")</f>
        <v>-224.52623000000006</v>
      </c>
      <c r="R14" s="3">
        <f>IF('Mass Ion Calculations'!$Y14=TRUE,(IF(E14="","",G14-'Mass Ion Calculations'!$D$5)),"")</f>
        <v>-235.51721999999995</v>
      </c>
      <c r="S14" s="3">
        <f>IF('Mass Ion Calculations'!$Y14=TRUE,(IF(F14="","",H14-'Mass Ion Calculations'!$D$5)),"")</f>
        <v>-579.66953333333333</v>
      </c>
      <c r="T14" s="3">
        <f>IF('Mass Ion Calculations'!$Y14=TRUE,(IF(G14="","",I14-'Mass Ion Calculations'!$D$5)),"")</f>
        <v>-572.34220666666658</v>
      </c>
      <c r="U14" s="3">
        <f>IF('Mass Ion Calculations'!$Y14=TRUE,(IF(H14="","",J14-'Mass Ion Calculations'!$D$5)),"")</f>
        <v>-565.01488000000006</v>
      </c>
      <c r="V14" s="3">
        <f>IF('Mass Ion Calculations'!$Y14=TRUE,(IF(I14="","",K14-'Mass Ion Calculations'!$D$5)),"")</f>
        <v>-557.68755333333331</v>
      </c>
      <c r="W14" s="2"/>
      <c r="X14">
        <f t="shared" si="2"/>
        <v>-8.0127855796227217E+23</v>
      </c>
      <c r="Y14" s="3">
        <f t="shared" si="3"/>
        <v>752</v>
      </c>
      <c r="Z14" s="3">
        <f t="shared" si="3"/>
        <v>774</v>
      </c>
      <c r="AA14" s="3">
        <f t="shared" si="1"/>
        <v>-247</v>
      </c>
      <c r="AB14" s="3">
        <f t="shared" si="1"/>
        <v>-225</v>
      </c>
      <c r="AC14" s="3">
        <f t="shared" si="1"/>
        <v>-236</v>
      </c>
      <c r="AD14" s="3">
        <f t="shared" si="1"/>
        <v>-580</v>
      </c>
      <c r="AE14" s="3">
        <f t="shared" si="1"/>
        <v>-573</v>
      </c>
      <c r="AF14" s="3">
        <f t="shared" si="1"/>
        <v>-566</v>
      </c>
      <c r="AG14" s="3">
        <f t="shared" si="1"/>
        <v>-558</v>
      </c>
      <c r="AH14" t="str">
        <f t="shared" si="4"/>
        <v>Glu(OtBu)</v>
      </c>
    </row>
    <row r="15" spans="1:34" x14ac:dyDescent="0.25">
      <c r="A15" s="4" t="str">
        <f>IF('Mass Ion Calculations'!B15="","",'Mass Ion Calculations'!B15)</f>
        <v>Asp(tBu)</v>
      </c>
      <c r="B15">
        <f>IF(A15="","",IF('Mass Ion Calculations'!$D$6="Yes",IF('Mass Ion Calculations'!$D$7="Yes",'Mass Ion Calculations'!$D$18+'Mass Ion Calculations'!C15,'Mass Ion Calculations'!$F$18+'Mass Ion Calculations'!E15),IF('Mass Ion Calculations'!$D$7="Yes", 'Mass Ion Calculations'!$D$15+'Mass Ion Calculations'!C15,'Mass Ion Calculations'!$F$15+'Mass Ion Calculations'!E15)))</f>
        <v>1984.9522899999999</v>
      </c>
      <c r="C15">
        <f>IF(A15="","",B15+'AA Exact Masses'!Q$2)</f>
        <v>1985.96011</v>
      </c>
      <c r="D15">
        <f>IF(A15="","",B15+'AA Exact Masses'!Q$3)</f>
        <v>2007.94209</v>
      </c>
      <c r="E15">
        <f>IF(A15="","",(B15+2*'AA Exact Masses'!Q$2)/2)</f>
        <v>993.48396500000001</v>
      </c>
      <c r="F15">
        <f>IF(A15="","",(B15+2*'AA Exact Masses'!Q$3)/2)</f>
        <v>1015.4659449999999</v>
      </c>
      <c r="G15">
        <f>IF(A15="","",(B15+'AA Exact Masses'!Q$2+'AA Exact Masses'!Q$3)/2)</f>
        <v>1004.474955</v>
      </c>
      <c r="H15">
        <f>IF($A15="","",($B15+3*'AA Exact Masses'!$Q$2)/3)</f>
        <v>662.65858333333335</v>
      </c>
      <c r="I15">
        <f>IF($A15="","",($B15+2*'AA Exact Masses'!$Q$2+'AA Exact Masses'!$Q$3)/3)</f>
        <v>669.98590999999999</v>
      </c>
      <c r="J15">
        <f>IF($A15="","",($B15+'AA Exact Masses'!$Q$2+2*'AA Exact Masses'!$Q$3)/3)</f>
        <v>677.31323666666663</v>
      </c>
      <c r="K15">
        <f>IF($A15="","",($B15+3*'AA Exact Masses'!$Q$3)/3)</f>
        <v>684.64056333333338</v>
      </c>
      <c r="L15" s="1"/>
      <c r="M15" s="8" t="str">
        <f t="shared" si="0"/>
        <v>Asp(tBu)</v>
      </c>
      <c r="N15" s="3">
        <f>IF('Mass Ion Calculations'!$Y15=TRUE,(IF(A15="","",C15-'Mass Ion Calculations'!$D$5)),"")</f>
        <v>738.96010999999999</v>
      </c>
      <c r="O15" s="3">
        <f>IF('Mass Ion Calculations'!$Y15=TRUE,(IF(B15="","",D15-'Mass Ion Calculations'!$D$5)),"")</f>
        <v>760.94209000000001</v>
      </c>
      <c r="P15" s="3">
        <f>IF('Mass Ion Calculations'!$Y15=TRUE,(IF(C15="","",E15-'Mass Ion Calculations'!$D$5)),"")</f>
        <v>-253.51603499999999</v>
      </c>
      <c r="Q15" s="3">
        <f>IF('Mass Ion Calculations'!$Y15=TRUE,(IF(D15="","",F15-'Mass Ion Calculations'!$D$5)),"")</f>
        <v>-231.53405500000008</v>
      </c>
      <c r="R15" s="3">
        <f>IF('Mass Ion Calculations'!$Y15=TRUE,(IF(E15="","",G15-'Mass Ion Calculations'!$D$5)),"")</f>
        <v>-242.52504499999998</v>
      </c>
      <c r="S15" s="3">
        <f>IF('Mass Ion Calculations'!$Y15=TRUE,(IF(F15="","",H15-'Mass Ion Calculations'!$D$5)),"")</f>
        <v>-584.34141666666665</v>
      </c>
      <c r="T15" s="3">
        <f>IF('Mass Ion Calculations'!$Y15=TRUE,(IF(G15="","",I15-'Mass Ion Calculations'!$D$5)),"")</f>
        <v>-577.01409000000001</v>
      </c>
      <c r="U15" s="3">
        <f>IF('Mass Ion Calculations'!$Y15=TRUE,(IF(H15="","",J15-'Mass Ion Calculations'!$D$5)),"")</f>
        <v>-569.68676333333337</v>
      </c>
      <c r="V15" s="3">
        <f>IF('Mass Ion Calculations'!$Y15=TRUE,(IF(I15="","",K15-'Mass Ion Calculations'!$D$5)),"")</f>
        <v>-562.35943666666662</v>
      </c>
      <c r="W15" s="2"/>
      <c r="X15">
        <f t="shared" si="2"/>
        <v>-8.7149496879598287E+23</v>
      </c>
      <c r="Y15" s="3">
        <f t="shared" si="3"/>
        <v>738</v>
      </c>
      <c r="Z15" s="3">
        <f t="shared" si="3"/>
        <v>760</v>
      </c>
      <c r="AA15" s="3">
        <f t="shared" si="1"/>
        <v>-254</v>
      </c>
      <c r="AB15" s="3">
        <f t="shared" si="1"/>
        <v>-232</v>
      </c>
      <c r="AC15" s="3">
        <f t="shared" si="1"/>
        <v>-243</v>
      </c>
      <c r="AD15" s="3">
        <f t="shared" si="1"/>
        <v>-585</v>
      </c>
      <c r="AE15" s="3">
        <f t="shared" si="1"/>
        <v>-578</v>
      </c>
      <c r="AF15" s="3">
        <f t="shared" si="1"/>
        <v>-570</v>
      </c>
      <c r="AG15" s="3">
        <f t="shared" si="1"/>
        <v>-563</v>
      </c>
      <c r="AH15" t="str">
        <f t="shared" si="4"/>
        <v>Asp(tBu)</v>
      </c>
    </row>
    <row r="16" spans="1:34" x14ac:dyDescent="0.25">
      <c r="A16" s="4" t="str">
        <f>IF('Mass Ion Calculations'!B16="","",'Mass Ion Calculations'!B16)</f>
        <v>Ala</v>
      </c>
      <c r="B16">
        <f>IF(A16="","",IF('Mass Ion Calculations'!$D$6="Yes",IF('Mass Ion Calculations'!$D$7="Yes",'Mass Ion Calculations'!$D$18+'Mass Ion Calculations'!C16,'Mass Ion Calculations'!$F$18+'Mass Ion Calculations'!E16),IF('Mass Ion Calculations'!$D$7="Yes", 'Mass Ion Calculations'!$D$15+'Mass Ion Calculations'!C16,'Mass Ion Calculations'!$F$15+'Mass Ion Calculations'!E16)))</f>
        <v>1940.96246</v>
      </c>
      <c r="C16">
        <f>IF(A16="","",B16+'AA Exact Masses'!Q$2)</f>
        <v>1941.97028</v>
      </c>
      <c r="D16">
        <f>IF(A16="","",B16+'AA Exact Masses'!Q$3)</f>
        <v>1963.95226</v>
      </c>
      <c r="E16">
        <f>IF(A16="","",(B16+2*'AA Exact Masses'!Q$2)/2)</f>
        <v>971.48905000000002</v>
      </c>
      <c r="F16">
        <f>IF(A16="","",(B16+2*'AA Exact Masses'!Q$3)/2)</f>
        <v>993.47102999999993</v>
      </c>
      <c r="G16">
        <f>IF(A16="","",(B16+'AA Exact Masses'!Q$2+'AA Exact Masses'!Q$3)/2)</f>
        <v>982.48004000000003</v>
      </c>
      <c r="H16">
        <f>IF($A16="","",($B16+3*'AA Exact Masses'!$Q$2)/3)</f>
        <v>647.99530666666669</v>
      </c>
      <c r="I16">
        <f>IF($A16="","",($B16+2*'AA Exact Masses'!$Q$2+'AA Exact Masses'!$Q$3)/3)</f>
        <v>655.32263333333333</v>
      </c>
      <c r="J16">
        <f>IF($A16="","",($B16+'AA Exact Masses'!$Q$2+2*'AA Exact Masses'!$Q$3)/3)</f>
        <v>662.64995999999996</v>
      </c>
      <c r="K16">
        <f>IF($A16="","",($B16+3*'AA Exact Masses'!$Q$3)/3)</f>
        <v>669.9772866666666</v>
      </c>
      <c r="L16" s="1"/>
      <c r="M16" s="8" t="str">
        <f t="shared" si="0"/>
        <v>Ala</v>
      </c>
      <c r="N16" s="3">
        <f>IF('Mass Ion Calculations'!$Y16=TRUE,(IF(A16="","",C16-'Mass Ion Calculations'!$D$5)),"")</f>
        <v>694.97028</v>
      </c>
      <c r="O16" s="3">
        <f>IF('Mass Ion Calculations'!$Y16=TRUE,(IF(B16="","",D16-'Mass Ion Calculations'!$D$5)),"")</f>
        <v>716.95226000000002</v>
      </c>
      <c r="P16" s="3">
        <f>IF('Mass Ion Calculations'!$Y16=TRUE,(IF(C16="","",E16-'Mass Ion Calculations'!$D$5)),"")</f>
        <v>-275.51094999999998</v>
      </c>
      <c r="Q16" s="3">
        <f>IF('Mass Ion Calculations'!$Y16=TRUE,(IF(D16="","",F16-'Mass Ion Calculations'!$D$5)),"")</f>
        <v>-253.52897000000007</v>
      </c>
      <c r="R16" s="3">
        <f>IF('Mass Ion Calculations'!$Y16=TRUE,(IF(E16="","",G16-'Mass Ion Calculations'!$D$5)),"")</f>
        <v>-264.51995999999997</v>
      </c>
      <c r="S16" s="3">
        <f>IF('Mass Ion Calculations'!$Y16=TRUE,(IF(F16="","",H16-'Mass Ion Calculations'!$D$5)),"")</f>
        <v>-599.00469333333331</v>
      </c>
      <c r="T16" s="3">
        <f>IF('Mass Ion Calculations'!$Y16=TRUE,(IF(G16="","",I16-'Mass Ion Calculations'!$D$5)),"")</f>
        <v>-591.67736666666667</v>
      </c>
      <c r="U16" s="3">
        <f>IF('Mass Ion Calculations'!$Y16=TRUE,(IF(H16="","",J16-'Mass Ion Calculations'!$D$5)),"")</f>
        <v>-584.35004000000004</v>
      </c>
      <c r="V16" s="3">
        <f>IF('Mass Ion Calculations'!$Y16=TRUE,(IF(I16="","",K16-'Mass Ion Calculations'!$D$5)),"")</f>
        <v>-577.0227133333334</v>
      </c>
      <c r="W16" s="2"/>
      <c r="X16">
        <f t="shared" si="2"/>
        <v>-1.1087096485486132E+24</v>
      </c>
      <c r="Y16" s="3">
        <f t="shared" si="3"/>
        <v>694</v>
      </c>
      <c r="Z16" s="3">
        <f t="shared" si="3"/>
        <v>716</v>
      </c>
      <c r="AA16" s="3">
        <f t="shared" si="1"/>
        <v>-276</v>
      </c>
      <c r="AB16" s="3">
        <f t="shared" si="1"/>
        <v>-254</v>
      </c>
      <c r="AC16" s="3">
        <f t="shared" si="1"/>
        <v>-265</v>
      </c>
      <c r="AD16" s="3">
        <f t="shared" si="1"/>
        <v>-600</v>
      </c>
      <c r="AE16" s="3">
        <f t="shared" si="1"/>
        <v>-592</v>
      </c>
      <c r="AF16" s="3">
        <f t="shared" si="1"/>
        <v>-585</v>
      </c>
      <c r="AG16" s="3">
        <f t="shared" si="1"/>
        <v>-578</v>
      </c>
      <c r="AH16" t="str">
        <f t="shared" si="4"/>
        <v>Ala</v>
      </c>
    </row>
    <row r="17" spans="1:34" x14ac:dyDescent="0.25">
      <c r="A17" s="4" t="str">
        <f>IF('Mass Ion Calculations'!B17="","",'Mass Ion Calculations'!B17)</f>
        <v>Phe</v>
      </c>
      <c r="B17">
        <f>IF(A17="","",IF('Mass Ion Calculations'!$D$6="Yes",IF('Mass Ion Calculations'!$D$7="Yes",'Mass Ion Calculations'!$D$18+'Mass Ion Calculations'!C17,'Mass Ion Calculations'!$F$18+'Mass Ion Calculations'!E17),IF('Mass Ion Calculations'!$D$7="Yes", 'Mass Ion Calculations'!$D$15+'Mass Ion Calculations'!C17,'Mass Ion Calculations'!$F$15+'Mass Ion Calculations'!E17)))</f>
        <v>2016.9937600000001</v>
      </c>
      <c r="C17">
        <f>IF(A17="","",B17+'AA Exact Masses'!Q$2)</f>
        <v>2018.0015800000001</v>
      </c>
      <c r="D17">
        <f>IF(A17="","",B17+'AA Exact Masses'!Q$3)</f>
        <v>2039.9835600000001</v>
      </c>
      <c r="E17">
        <f>IF(A17="","",(B17+2*'AA Exact Masses'!Q$2)/2)</f>
        <v>1009.5047000000001</v>
      </c>
      <c r="F17">
        <f>IF(A17="","",(B17+2*'AA Exact Masses'!Q$3)/2)</f>
        <v>1031.48668</v>
      </c>
      <c r="G17">
        <f>IF(A17="","",(B17+'AA Exact Masses'!Q$2+'AA Exact Masses'!Q$3)/2)</f>
        <v>1020.4956900000001</v>
      </c>
      <c r="H17">
        <f>IF($A17="","",($B17+3*'AA Exact Masses'!$Q$2)/3)</f>
        <v>673.33907333333343</v>
      </c>
      <c r="I17">
        <f>IF($A17="","",($B17+2*'AA Exact Masses'!$Q$2+'AA Exact Masses'!$Q$3)/3)</f>
        <v>680.66640000000007</v>
      </c>
      <c r="J17">
        <f>IF($A17="","",($B17+'AA Exact Masses'!$Q$2+2*'AA Exact Masses'!$Q$3)/3)</f>
        <v>687.9937266666667</v>
      </c>
      <c r="K17">
        <f>IF($A17="","",($B17+3*'AA Exact Masses'!$Q$3)/3)</f>
        <v>695.32105333333345</v>
      </c>
      <c r="L17" s="1"/>
      <c r="M17" s="8" t="str">
        <f t="shared" si="0"/>
        <v>Phe</v>
      </c>
      <c r="N17" s="3">
        <f>IF('Mass Ion Calculations'!$Y17=TRUE,(IF(A17="","",C17-'Mass Ion Calculations'!$D$5)),"")</f>
        <v>771.0015800000001</v>
      </c>
      <c r="O17" s="3">
        <f>IF('Mass Ion Calculations'!$Y17=TRUE,(IF(B17="","",D17-'Mass Ion Calculations'!$D$5)),"")</f>
        <v>792.98356000000013</v>
      </c>
      <c r="P17" s="3">
        <f>IF('Mass Ion Calculations'!$Y17=TRUE,(IF(C17="","",E17-'Mass Ion Calculations'!$D$5)),"")</f>
        <v>-237.49529999999993</v>
      </c>
      <c r="Q17" s="3">
        <f>IF('Mass Ion Calculations'!$Y17=TRUE,(IF(D17="","",F17-'Mass Ion Calculations'!$D$5)),"")</f>
        <v>-215.51332000000002</v>
      </c>
      <c r="R17" s="3">
        <f>IF('Mass Ion Calculations'!$Y17=TRUE,(IF(E17="","",G17-'Mass Ion Calculations'!$D$5)),"")</f>
        <v>-226.50430999999992</v>
      </c>
      <c r="S17" s="3">
        <f>IF('Mass Ion Calculations'!$Y17=TRUE,(IF(F17="","",H17-'Mass Ion Calculations'!$D$5)),"")</f>
        <v>-573.66092666666657</v>
      </c>
      <c r="T17" s="3">
        <f>IF('Mass Ion Calculations'!$Y17=TRUE,(IF(G17="","",I17-'Mass Ion Calculations'!$D$5)),"")</f>
        <v>-566.33359999999993</v>
      </c>
      <c r="U17" s="3">
        <f>IF('Mass Ion Calculations'!$Y17=TRUE,(IF(H17="","",J17-'Mass Ion Calculations'!$D$5)),"")</f>
        <v>-559.0062733333333</v>
      </c>
      <c r="V17" s="3">
        <f>IF('Mass Ion Calculations'!$Y17=TRUE,(IF(I17="","",K17-'Mass Ion Calculations'!$D$5)),"")</f>
        <v>-551.67894666666655</v>
      </c>
      <c r="W17" s="2"/>
      <c r="X17">
        <f t="shared" si="2"/>
        <v>-7.1689934083557268E+23</v>
      </c>
      <c r="Y17" s="3">
        <f t="shared" si="3"/>
        <v>771</v>
      </c>
      <c r="Z17" s="3">
        <f t="shared" si="3"/>
        <v>792</v>
      </c>
      <c r="AA17" s="3">
        <f t="shared" si="1"/>
        <v>-238</v>
      </c>
      <c r="AB17" s="3">
        <f t="shared" si="1"/>
        <v>-216</v>
      </c>
      <c r="AC17" s="3">
        <f t="shared" si="1"/>
        <v>-227</v>
      </c>
      <c r="AD17" s="3">
        <f t="shared" si="1"/>
        <v>-574</v>
      </c>
      <c r="AE17" s="3">
        <f t="shared" si="1"/>
        <v>-567</v>
      </c>
      <c r="AF17" s="3">
        <f t="shared" si="1"/>
        <v>-560</v>
      </c>
      <c r="AG17" s="3">
        <f t="shared" si="1"/>
        <v>-552</v>
      </c>
      <c r="AH17" t="str">
        <f t="shared" si="4"/>
        <v>Phe</v>
      </c>
    </row>
    <row r="18" spans="1:34" x14ac:dyDescent="0.25">
      <c r="A18" s="4" t="str">
        <f>IF('Mass Ion Calculations'!B18="","",'Mass Ion Calculations'!B18)</f>
        <v>Phe-I</v>
      </c>
      <c r="B18">
        <f>IF(A18="","",IF('Mass Ion Calculations'!$D$6="Yes",IF('Mass Ion Calculations'!$D$7="Yes",'Mass Ion Calculations'!$D$18+'Mass Ion Calculations'!C18,'Mass Ion Calculations'!$F$18+'Mass Ion Calculations'!E18),IF('Mass Ion Calculations'!$D$7="Yes", 'Mass Ion Calculations'!$D$15+'Mass Ion Calculations'!C18,'Mass Ion Calculations'!$F$15+'Mass Ion Calculations'!E18)))</f>
        <v>2142.89041</v>
      </c>
      <c r="C18">
        <f>IF(A18="","",B18+'AA Exact Masses'!Q$2)</f>
        <v>2143.8982299999998</v>
      </c>
      <c r="D18">
        <f>IF(A18="","",B18+'AA Exact Masses'!Q$3)</f>
        <v>2165.8802099999998</v>
      </c>
      <c r="E18">
        <f>IF(A18="","",(B18+2*'AA Exact Masses'!Q$2)/2)</f>
        <v>1072.453025</v>
      </c>
      <c r="F18">
        <f>IF(A18="","",(B18+2*'AA Exact Masses'!Q$3)/2)</f>
        <v>1094.435005</v>
      </c>
      <c r="G18">
        <f>IF(A18="","",(B18+'AA Exact Masses'!Q$2+'AA Exact Masses'!Q$3)/2)</f>
        <v>1083.4440149999998</v>
      </c>
      <c r="H18">
        <f>IF($A18="","",($B18+3*'AA Exact Masses'!$Q$2)/3)</f>
        <v>715.30462333333332</v>
      </c>
      <c r="I18">
        <f>IF($A18="","",($B18+2*'AA Exact Masses'!$Q$2+'AA Exact Masses'!$Q$3)/3)</f>
        <v>722.63194999999996</v>
      </c>
      <c r="J18">
        <f>IF($A18="","",($B18+'AA Exact Masses'!$Q$2+2*'AA Exact Masses'!$Q$3)/3)</f>
        <v>729.9592766666666</v>
      </c>
      <c r="K18">
        <f>IF($A18="","",($B18+3*'AA Exact Masses'!$Q$3)/3)</f>
        <v>737.28660333333335</v>
      </c>
      <c r="L18" s="1"/>
      <c r="M18" s="8" t="str">
        <f t="shared" si="0"/>
        <v>Phe-I</v>
      </c>
      <c r="N18" s="3">
        <f>IF('Mass Ion Calculations'!$Y18=TRUE,(IF(A18="","",C18-'Mass Ion Calculations'!$D$5)),"")</f>
        <v>896.89822999999978</v>
      </c>
      <c r="O18" s="3">
        <f>IF('Mass Ion Calculations'!$Y18=TRUE,(IF(B18="","",D18-'Mass Ion Calculations'!$D$5)),"")</f>
        <v>918.88020999999981</v>
      </c>
      <c r="P18" s="3">
        <f>IF('Mass Ion Calculations'!$Y18=TRUE,(IF(C18="","",E18-'Mass Ion Calculations'!$D$5)),"")</f>
        <v>-174.54697499999997</v>
      </c>
      <c r="Q18" s="3">
        <f>IF('Mass Ion Calculations'!$Y18=TRUE,(IF(D18="","",F18-'Mass Ion Calculations'!$D$5)),"")</f>
        <v>-152.56499499999995</v>
      </c>
      <c r="R18" s="3">
        <f>IF('Mass Ion Calculations'!$Y18=TRUE,(IF(E18="","",G18-'Mass Ion Calculations'!$D$5)),"")</f>
        <v>-163.55598500000019</v>
      </c>
      <c r="S18" s="3">
        <f>IF('Mass Ion Calculations'!$Y18=TRUE,(IF(F18="","",H18-'Mass Ion Calculations'!$D$5)),"")</f>
        <v>-531.69537666666668</v>
      </c>
      <c r="T18" s="3">
        <f>IF('Mass Ion Calculations'!$Y18=TRUE,(IF(G18="","",I18-'Mass Ion Calculations'!$D$5)),"")</f>
        <v>-524.36805000000004</v>
      </c>
      <c r="U18" s="3">
        <f>IF('Mass Ion Calculations'!$Y18=TRUE,(IF(H18="","",J18-'Mass Ion Calculations'!$D$5)),"")</f>
        <v>-517.0407233333334</v>
      </c>
      <c r="V18" s="3">
        <f>IF('Mass Ion Calculations'!$Y18=TRUE,(IF(I18="","",K18-'Mass Ion Calculations'!$D$5)),"")</f>
        <v>-509.71339666666665</v>
      </c>
      <c r="W18" s="2"/>
      <c r="X18">
        <f t="shared" si="2"/>
        <v>-2.6649857427300819E+23</v>
      </c>
      <c r="Y18" s="3">
        <f t="shared" si="3"/>
        <v>896</v>
      </c>
      <c r="Z18" s="3">
        <f t="shared" si="3"/>
        <v>918</v>
      </c>
      <c r="AA18" s="3">
        <f t="shared" si="1"/>
        <v>-175</v>
      </c>
      <c r="AB18" s="3">
        <f t="shared" si="1"/>
        <v>-153</v>
      </c>
      <c r="AC18" s="3">
        <f t="shared" si="1"/>
        <v>-164</v>
      </c>
      <c r="AD18" s="3">
        <f t="shared" si="1"/>
        <v>-532</v>
      </c>
      <c r="AE18" s="3">
        <f t="shared" si="1"/>
        <v>-525</v>
      </c>
      <c r="AF18" s="3">
        <f t="shared" si="1"/>
        <v>-518</v>
      </c>
      <c r="AG18" s="3">
        <f t="shared" si="1"/>
        <v>-510</v>
      </c>
      <c r="AH18" t="str">
        <f t="shared" si="4"/>
        <v>Phe-I</v>
      </c>
    </row>
    <row r="19" spans="1:34" x14ac:dyDescent="0.25">
      <c r="A19" s="4" t="str">
        <f>IF('Mass Ion Calculations'!B19="","",'Mass Ion Calculations'!B19)</f>
        <v>Val</v>
      </c>
      <c r="B19">
        <f>IF(A19="","",IF('Mass Ion Calculations'!$D$6="Yes",IF('Mass Ion Calculations'!$D$7="Yes",'Mass Ion Calculations'!$D$18+'Mass Ion Calculations'!C19,'Mass Ion Calculations'!$F$18+'Mass Ion Calculations'!E19),IF('Mass Ion Calculations'!$D$7="Yes", 'Mass Ion Calculations'!$D$15+'Mass Ion Calculations'!C19,'Mass Ion Calculations'!$F$15+'Mass Ion Calculations'!E19)))</f>
        <v>1968.9937600000001</v>
      </c>
      <c r="C19">
        <f>IF(A19="","",B19+'AA Exact Masses'!Q$2)</f>
        <v>1970.0015800000001</v>
      </c>
      <c r="D19">
        <f>IF(A19="","",B19+'AA Exact Masses'!Q$3)</f>
        <v>1991.9835600000001</v>
      </c>
      <c r="E19">
        <f>IF(A19="","",(B19+2*'AA Exact Masses'!Q$2)/2)</f>
        <v>985.50470000000007</v>
      </c>
      <c r="F19">
        <f>IF(A19="","",(B19+2*'AA Exact Masses'!Q$3)/2)</f>
        <v>1007.48668</v>
      </c>
      <c r="G19">
        <f>IF(A19="","",(B19+'AA Exact Masses'!Q$2+'AA Exact Masses'!Q$3)/2)</f>
        <v>996.49569000000008</v>
      </c>
      <c r="H19">
        <f>IF($A19="","",($B19+3*'AA Exact Masses'!$Q$2)/3)</f>
        <v>657.33907333333343</v>
      </c>
      <c r="I19">
        <f>IF($A19="","",($B19+2*'AA Exact Masses'!$Q$2+'AA Exact Masses'!$Q$3)/3)</f>
        <v>664.66640000000007</v>
      </c>
      <c r="J19">
        <f>IF($A19="","",($B19+'AA Exact Masses'!$Q$2+2*'AA Exact Masses'!$Q$3)/3)</f>
        <v>671.9937266666667</v>
      </c>
      <c r="K19">
        <f>IF($A19="","",($B19+3*'AA Exact Masses'!$Q$3)/3)</f>
        <v>679.32105333333334</v>
      </c>
      <c r="L19" s="1"/>
      <c r="M19" s="8" t="str">
        <f t="shared" si="0"/>
        <v>Val</v>
      </c>
      <c r="N19" s="3">
        <f>IF('Mass Ion Calculations'!$Y19=TRUE,(IF(A19="","",C19-'Mass Ion Calculations'!$D$5)),"")</f>
        <v>723.0015800000001</v>
      </c>
      <c r="O19" s="3">
        <f>IF('Mass Ion Calculations'!$Y19=TRUE,(IF(B19="","",D19-'Mass Ion Calculations'!$D$5)),"")</f>
        <v>744.98356000000013</v>
      </c>
      <c r="P19" s="3">
        <f>IF('Mass Ion Calculations'!$Y19=TRUE,(IF(C19="","",E19-'Mass Ion Calculations'!$D$5)),"")</f>
        <v>-261.49529999999993</v>
      </c>
      <c r="Q19" s="3">
        <f>IF('Mass Ion Calculations'!$Y19=TRUE,(IF(D19="","",F19-'Mass Ion Calculations'!$D$5)),"")</f>
        <v>-239.51332000000002</v>
      </c>
      <c r="R19" s="3">
        <f>IF('Mass Ion Calculations'!$Y19=TRUE,(IF(E19="","",G19-'Mass Ion Calculations'!$D$5)),"")</f>
        <v>-250.50430999999992</v>
      </c>
      <c r="S19" s="3">
        <f>IF('Mass Ion Calculations'!$Y19=TRUE,(IF(F19="","",H19-'Mass Ion Calculations'!$D$5)),"")</f>
        <v>-589.66092666666657</v>
      </c>
      <c r="T19" s="3">
        <f>IF('Mass Ion Calculations'!$Y19=TRUE,(IF(G19="","",I19-'Mass Ion Calculations'!$D$5)),"")</f>
        <v>-582.33359999999993</v>
      </c>
      <c r="U19" s="3">
        <f>IF('Mass Ion Calculations'!$Y19=TRUE,(IF(H19="","",J19-'Mass Ion Calculations'!$D$5)),"")</f>
        <v>-575.0062733333333</v>
      </c>
      <c r="V19" s="3">
        <f>IF('Mass Ion Calculations'!$Y19=TRUE,(IF(I19="","",K19-'Mass Ion Calculations'!$D$5)),"")</f>
        <v>-567.67894666666666</v>
      </c>
      <c r="W19" s="2"/>
      <c r="X19">
        <f t="shared" si="2"/>
        <v>-9.554079987026716E+23</v>
      </c>
      <c r="Y19" s="3">
        <f t="shared" si="3"/>
        <v>723</v>
      </c>
      <c r="Z19" s="3">
        <f t="shared" si="3"/>
        <v>744</v>
      </c>
      <c r="AA19" s="3">
        <f t="shared" si="1"/>
        <v>-262</v>
      </c>
      <c r="AB19" s="3">
        <f t="shared" si="1"/>
        <v>-240</v>
      </c>
      <c r="AC19" s="3">
        <f t="shared" si="1"/>
        <v>-251</v>
      </c>
      <c r="AD19" s="3">
        <f t="shared" si="1"/>
        <v>-590</v>
      </c>
      <c r="AE19" s="3">
        <f t="shared" si="1"/>
        <v>-583</v>
      </c>
      <c r="AF19" s="3">
        <f t="shared" si="1"/>
        <v>-576</v>
      </c>
      <c r="AG19" s="3">
        <f t="shared" si="1"/>
        <v>-568</v>
      </c>
      <c r="AH19" t="str">
        <f t="shared" si="4"/>
        <v>Val</v>
      </c>
    </row>
    <row r="20" spans="1:34" x14ac:dyDescent="0.25">
      <c r="A20" s="4" t="str">
        <f>IF('Mass Ion Calculations'!B20="","",'Mass Ion Calculations'!B20)</f>
        <v>Leu</v>
      </c>
      <c r="B20">
        <f>IF(A20="","",IF('Mass Ion Calculations'!$D$6="Yes",IF('Mass Ion Calculations'!$D$7="Yes",'Mass Ion Calculations'!$D$18+'Mass Ion Calculations'!C20,'Mass Ion Calculations'!$F$18+'Mass Ion Calculations'!E20),IF('Mass Ion Calculations'!$D$7="Yes", 'Mass Ion Calculations'!$D$15+'Mass Ion Calculations'!C20,'Mass Ion Calculations'!$F$15+'Mass Ion Calculations'!E20)))</f>
        <v>1983.0094099999999</v>
      </c>
      <c r="C20">
        <f>IF(A20="","",B20+'AA Exact Masses'!Q$2)</f>
        <v>1984.0172299999999</v>
      </c>
      <c r="D20">
        <f>IF(A20="","",B20+'AA Exact Masses'!Q$3)</f>
        <v>2005.9992099999999</v>
      </c>
      <c r="E20">
        <f>IF(A20="","",(B20+2*'AA Exact Masses'!Q$2)/2)</f>
        <v>992.51252499999998</v>
      </c>
      <c r="F20">
        <f>IF(A20="","",(B20+2*'AA Exact Masses'!Q$3)/2)</f>
        <v>1014.4945049999999</v>
      </c>
      <c r="G20">
        <f>IF(A20="","",(B20+'AA Exact Masses'!Q$2+'AA Exact Masses'!Q$3)/2)</f>
        <v>1003.503515</v>
      </c>
      <c r="H20">
        <f>IF($A20="","",($B20+3*'AA Exact Masses'!$Q$2)/3)</f>
        <v>662.01095666666663</v>
      </c>
      <c r="I20">
        <f>IF($A20="","",($B20+2*'AA Exact Masses'!$Q$2+'AA Exact Masses'!$Q$3)/3)</f>
        <v>669.33828333333338</v>
      </c>
      <c r="J20">
        <f>IF($A20="","",($B20+'AA Exact Masses'!$Q$2+2*'AA Exact Masses'!$Q$3)/3)</f>
        <v>676.6656099999999</v>
      </c>
      <c r="K20">
        <f>IF($A20="","",($B20+3*'AA Exact Masses'!$Q$3)/3)</f>
        <v>683.99293666666665</v>
      </c>
      <c r="L20" s="1"/>
      <c r="M20" s="8" t="str">
        <f t="shared" si="0"/>
        <v>Leu</v>
      </c>
      <c r="N20" s="3">
        <f>IF('Mass Ion Calculations'!$Y20=TRUE,(IF(A20="","",C20-'Mass Ion Calculations'!$D$5)),"")</f>
        <v>737.01722999999993</v>
      </c>
      <c r="O20" s="3">
        <f>IF('Mass Ion Calculations'!$Y20=TRUE,(IF(B20="","",D20-'Mass Ion Calculations'!$D$5)),"")</f>
        <v>758.99920999999995</v>
      </c>
      <c r="P20" s="3">
        <f>IF('Mass Ion Calculations'!$Y20=TRUE,(IF(C20="","",E20-'Mass Ion Calculations'!$D$5)),"")</f>
        <v>-254.48747500000002</v>
      </c>
      <c r="Q20" s="3">
        <f>IF('Mass Ion Calculations'!$Y20=TRUE,(IF(D20="","",F20-'Mass Ion Calculations'!$D$5)),"")</f>
        <v>-232.50549500000011</v>
      </c>
      <c r="R20" s="3">
        <f>IF('Mass Ion Calculations'!$Y20=TRUE,(IF(E20="","",G20-'Mass Ion Calculations'!$D$5)),"")</f>
        <v>-243.49648500000001</v>
      </c>
      <c r="S20" s="3">
        <f>IF('Mass Ion Calculations'!$Y20=TRUE,(IF(F20="","",H20-'Mass Ion Calculations'!$D$5)),"")</f>
        <v>-584.98904333333337</v>
      </c>
      <c r="T20" s="3">
        <f>IF('Mass Ion Calculations'!$Y20=TRUE,(IF(G20="","",I20-'Mass Ion Calculations'!$D$5)),"")</f>
        <v>-577.66171666666662</v>
      </c>
      <c r="U20" s="3">
        <f>IF('Mass Ion Calculations'!$Y20=TRUE,(IF(H20="","",J20-'Mass Ion Calculations'!$D$5)),"")</f>
        <v>-570.3343900000001</v>
      </c>
      <c r="V20" s="3">
        <f>IF('Mass Ion Calculations'!$Y20=TRUE,(IF(I20="","",K20-'Mass Ion Calculations'!$D$5)),"")</f>
        <v>-563.00706333333335</v>
      </c>
      <c r="W20" s="2"/>
      <c r="X20">
        <f t="shared" si="2"/>
        <v>-8.8190445813768684E+23</v>
      </c>
      <c r="Y20" s="3">
        <f t="shared" si="3"/>
        <v>737</v>
      </c>
      <c r="Z20" s="3">
        <f t="shared" si="3"/>
        <v>758</v>
      </c>
      <c r="AA20" s="3">
        <f t="shared" si="1"/>
        <v>-255</v>
      </c>
      <c r="AB20" s="3">
        <f t="shared" si="1"/>
        <v>-233</v>
      </c>
      <c r="AC20" s="3">
        <f t="shared" si="1"/>
        <v>-244</v>
      </c>
      <c r="AD20" s="3">
        <f t="shared" si="1"/>
        <v>-585</v>
      </c>
      <c r="AE20" s="3">
        <f t="shared" si="1"/>
        <v>-578</v>
      </c>
      <c r="AF20" s="3">
        <f t="shared" si="1"/>
        <v>-571</v>
      </c>
      <c r="AG20" s="3">
        <f t="shared" si="1"/>
        <v>-564</v>
      </c>
      <c r="AH20" t="str">
        <f t="shared" si="4"/>
        <v>Leu</v>
      </c>
    </row>
    <row r="21" spans="1:34" x14ac:dyDescent="0.25">
      <c r="A21" s="4" t="str">
        <f>IF('Mass Ion Calculations'!B21="","",'Mass Ion Calculations'!B21)</f>
        <v/>
      </c>
      <c r="B21" t="str">
        <f>IF(A21="","",IF('Mass Ion Calculations'!$D$6="Yes",IF('Mass Ion Calculations'!$D$7="Yes",'Mass Ion Calculations'!$D$18+'Mass Ion Calculations'!C21,'Mass Ion Calculations'!$F$18+'Mass Ion Calculations'!E21),IF('Mass Ion Calculations'!$D$7="Yes", 'Mass Ion Calculations'!$D$15+'Mass Ion Calculations'!C21,'Mass Ion Calculations'!$F$15+'Mass Ion Calculations'!E21)))</f>
        <v/>
      </c>
      <c r="C21" t="str">
        <f>IF(A21="","",B21+'AA Exact Masses'!Q$2)</f>
        <v/>
      </c>
      <c r="D21" t="str">
        <f>IF(A21="","",B21+'AA Exact Masses'!Q$3)</f>
        <v/>
      </c>
      <c r="E21" t="str">
        <f>IF(A21="","",(B21+2*'AA Exact Masses'!Q$2)/2)</f>
        <v/>
      </c>
      <c r="F21" t="str">
        <f>IF(A21="","",(B21+2*'AA Exact Masses'!Q$3)/2)</f>
        <v/>
      </c>
      <c r="G21" t="str">
        <f>IF(A21="","",(B21+'AA Exact Masses'!Q$2+'AA Exact Masses'!Q$3)/2)</f>
        <v/>
      </c>
      <c r="H21" t="str">
        <f>IF($A21="","",($B21+3*'AA Exact Masses'!$Q$2)/3)</f>
        <v/>
      </c>
      <c r="I21" t="str">
        <f>IF($A21="","",($B21+2*'AA Exact Masses'!$Q$2+'AA Exact Masses'!$Q$3)/3)</f>
        <v/>
      </c>
      <c r="J21" t="str">
        <f>IF($A21="","",($B21+'AA Exact Masses'!$Q$2+2*'AA Exact Masses'!$Q$3)/3)</f>
        <v/>
      </c>
      <c r="K21" t="str">
        <f>IF($A21="","",($B21+3*'AA Exact Masses'!$Q$3)/3)</f>
        <v/>
      </c>
      <c r="L21" s="1"/>
      <c r="M21" s="8" t="str">
        <f t="shared" si="0"/>
        <v/>
      </c>
      <c r="N21" s="3" t="str">
        <f>IF('Mass Ion Calculations'!$Y21=TRUE,(IF(A21="","",C21-'Mass Ion Calculations'!$D$5)),"")</f>
        <v/>
      </c>
      <c r="O21" s="3" t="str">
        <f>IF('Mass Ion Calculations'!$Y21=TRUE,(IF(B21="","",D21-'Mass Ion Calculations'!$D$5)),"")</f>
        <v/>
      </c>
      <c r="P21" s="3" t="str">
        <f>IF('Mass Ion Calculations'!$Y21=TRUE,(IF(C21="","",E21-'Mass Ion Calculations'!$D$5)),"")</f>
        <v/>
      </c>
      <c r="Q21" s="3" t="str">
        <f>IF('Mass Ion Calculations'!$Y21=TRUE,(IF(D21="","",F21-'Mass Ion Calculations'!$D$5)),"")</f>
        <v/>
      </c>
      <c r="R21" s="3" t="str">
        <f>IF('Mass Ion Calculations'!$Y21=TRUE,(IF(E21="","",G21-'Mass Ion Calculations'!$D$5)),"")</f>
        <v/>
      </c>
      <c r="S21" s="3" t="str">
        <f>IF('Mass Ion Calculations'!$Y21=TRUE,(IF(F21="","",H21-'Mass Ion Calculations'!$D$5)),"")</f>
        <v/>
      </c>
      <c r="T21" s="3" t="str">
        <f>IF('Mass Ion Calculations'!$Y21=TRUE,(IF(G21="","",I21-'Mass Ion Calculations'!$D$5)),"")</f>
        <v/>
      </c>
      <c r="U21" s="3" t="str">
        <f>IF('Mass Ion Calculations'!$Y21=TRUE,(IF(H21="","",J21-'Mass Ion Calculations'!$D$5)),"")</f>
        <v/>
      </c>
      <c r="V21" s="3" t="str">
        <f>IF('Mass Ion Calculations'!$Y21=TRUE,(IF(I21="","",K21-'Mass Ion Calculations'!$D$5)),"")</f>
        <v/>
      </c>
      <c r="W21" s="2"/>
      <c r="X21">
        <f t="shared" si="2"/>
        <v>1</v>
      </c>
      <c r="Y21" s="3">
        <f t="shared" si="3"/>
        <v>1</v>
      </c>
      <c r="Z21" s="3">
        <f t="shared" si="3"/>
        <v>1</v>
      </c>
      <c r="AA21" s="3">
        <f t="shared" ref="AA21:AA43" si="5">IF(P21="",1,FLOOR(P21,1))</f>
        <v>1</v>
      </c>
      <c r="AB21" s="3">
        <f t="shared" ref="AB21:AB43" si="6">IF(Q21="",1,FLOOR(Q21,1))</f>
        <v>1</v>
      </c>
      <c r="AC21" s="3">
        <f t="shared" ref="AC21:AC43" si="7">IF(R21="",1,FLOOR(R21,1))</f>
        <v>1</v>
      </c>
      <c r="AD21" s="3">
        <f t="shared" ref="AD21:AD43" si="8">IF(S21="",1,FLOOR(S21,1))</f>
        <v>1</v>
      </c>
      <c r="AE21" s="3">
        <f t="shared" ref="AE21:AE43" si="9">IF(T21="",1,FLOOR(T21,1))</f>
        <v>1</v>
      </c>
      <c r="AF21" s="3">
        <f t="shared" ref="AF21:AF43" si="10">IF(U21="",1,FLOOR(U21,1))</f>
        <v>1</v>
      </c>
      <c r="AG21" s="3">
        <f t="shared" ref="AG21:AG43" si="11">IF(V21="",1,FLOOR(V21,1))</f>
        <v>1</v>
      </c>
      <c r="AH21" t="str">
        <f t="shared" si="4"/>
        <v/>
      </c>
    </row>
    <row r="22" spans="1:34" x14ac:dyDescent="0.25">
      <c r="A22" s="4" t="str">
        <f>IF('Mass Ion Calculations'!B22="","",'Mass Ion Calculations'!B22)</f>
        <v>HOAt</v>
      </c>
      <c r="B22" t="e">
        <f>IF(A22="","",IF('Mass Ion Calculations'!$D$6="Yes",IF('Mass Ion Calculations'!$D$7="Yes",'Mass Ion Calculations'!$D$18+'Mass Ion Calculations'!C22,'Mass Ion Calculations'!$F$18+'Mass Ion Calculations'!E22),IF('Mass Ion Calculations'!$D$7="Yes", 'Mass Ion Calculations'!$D$15+'Mass Ion Calculations'!C22,'Mass Ion Calculations'!$F$15+'Mass Ion Calculations'!E22)))</f>
        <v>#VALUE!</v>
      </c>
      <c r="C22" t="e">
        <f>IF(A22="","",B22+'AA Exact Masses'!Q$2)</f>
        <v>#VALUE!</v>
      </c>
      <c r="D22" t="e">
        <f>IF(A22="","",B22+'AA Exact Masses'!Q$3)</f>
        <v>#VALUE!</v>
      </c>
      <c r="E22" t="e">
        <f>IF(A22="","",(B22+2*'AA Exact Masses'!Q$2)/2)</f>
        <v>#VALUE!</v>
      </c>
      <c r="F22" t="e">
        <f>IF(A22="","",(B22+2*'AA Exact Masses'!Q$3)/2)</f>
        <v>#VALUE!</v>
      </c>
      <c r="G22" t="e">
        <f>IF(A22="","",(B22+'AA Exact Masses'!Q$2+'AA Exact Masses'!Q$3)/2)</f>
        <v>#VALUE!</v>
      </c>
      <c r="H22" t="e">
        <f>IF($A22="","",($B22+3*'AA Exact Masses'!$Q$2)/3)</f>
        <v>#VALUE!</v>
      </c>
      <c r="I22" t="e">
        <f>IF($A22="","",($B22+2*'AA Exact Masses'!$Q$2+'AA Exact Masses'!$Q$3)/3)</f>
        <v>#VALUE!</v>
      </c>
      <c r="J22" t="e">
        <f>IF($A22="","",($B22+'AA Exact Masses'!$Q$2+2*'AA Exact Masses'!$Q$3)/3)</f>
        <v>#VALUE!</v>
      </c>
      <c r="K22" t="e">
        <f>IF($A22="","",($B22+3*'AA Exact Masses'!$Q$3)/3)</f>
        <v>#VALUE!</v>
      </c>
      <c r="L22" s="1"/>
      <c r="M22" s="8" t="str">
        <f t="shared" si="0"/>
        <v>HOAt</v>
      </c>
      <c r="N22" s="3" t="str">
        <f>IF('Mass Ion Calculations'!$Y22=TRUE,(IF(A22="","",C22-'Mass Ion Calculations'!$D$5)),"")</f>
        <v/>
      </c>
      <c r="O22" s="3" t="str">
        <f>IF('Mass Ion Calculations'!$Y22=TRUE,(IF(B22="","",D22-'Mass Ion Calculations'!$D$5)),"")</f>
        <v/>
      </c>
      <c r="P22" s="3" t="str">
        <f>IF('Mass Ion Calculations'!$Y22=TRUE,(IF(C22="","",E22-'Mass Ion Calculations'!$D$5)),"")</f>
        <v/>
      </c>
      <c r="Q22" s="3" t="str">
        <f>IF('Mass Ion Calculations'!$Y22=TRUE,(IF(D22="","",F22-'Mass Ion Calculations'!$D$5)),"")</f>
        <v/>
      </c>
      <c r="R22" s="3" t="str">
        <f>IF('Mass Ion Calculations'!$Y22=TRUE,(IF(E22="","",G22-'Mass Ion Calculations'!$D$5)),"")</f>
        <v/>
      </c>
      <c r="S22" s="3" t="str">
        <f>IF('Mass Ion Calculations'!$Y22=TRUE,(IF(F22="","",H22-'Mass Ion Calculations'!$D$5)),"")</f>
        <v/>
      </c>
      <c r="T22" s="3" t="str">
        <f>IF('Mass Ion Calculations'!$Y22=TRUE,(IF(G22="","",I22-'Mass Ion Calculations'!$D$5)),"")</f>
        <v/>
      </c>
      <c r="U22" s="3" t="str">
        <f>IF('Mass Ion Calculations'!$Y22=TRUE,(IF(H22="","",J22-'Mass Ion Calculations'!$D$5)),"")</f>
        <v/>
      </c>
      <c r="V22" s="3" t="str">
        <f>IF('Mass Ion Calculations'!$Y22=TRUE,(IF(I22="","",K22-'Mass Ion Calculations'!$D$5)),"")</f>
        <v/>
      </c>
      <c r="W22" s="2"/>
      <c r="X22">
        <f t="shared" si="2"/>
        <v>1</v>
      </c>
      <c r="Y22" s="3">
        <f t="shared" si="3"/>
        <v>1</v>
      </c>
      <c r="Z22" s="3">
        <f t="shared" si="3"/>
        <v>1</v>
      </c>
      <c r="AA22" s="3">
        <f t="shared" si="5"/>
        <v>1</v>
      </c>
      <c r="AB22" s="3">
        <f t="shared" si="6"/>
        <v>1</v>
      </c>
      <c r="AC22" s="3">
        <f t="shared" si="7"/>
        <v>1</v>
      </c>
      <c r="AD22" s="3">
        <f t="shared" si="8"/>
        <v>1</v>
      </c>
      <c r="AE22" s="3">
        <f t="shared" si="9"/>
        <v>1</v>
      </c>
      <c r="AF22" s="3">
        <f t="shared" si="10"/>
        <v>1</v>
      </c>
      <c r="AG22" s="3">
        <f t="shared" si="11"/>
        <v>1</v>
      </c>
      <c r="AH22" t="str">
        <f t="shared" si="4"/>
        <v>HOAt</v>
      </c>
    </row>
    <row r="23" spans="1:34" x14ac:dyDescent="0.25">
      <c r="A23" s="4" t="str">
        <f>IF('Mass Ion Calculations'!B23="","",'Mass Ion Calculations'!B23)</f>
        <v>HCTU</v>
      </c>
      <c r="B23" t="e">
        <f>IF(A23="","",IF('Mass Ion Calculations'!$D$6="Yes",IF('Mass Ion Calculations'!$D$7="Yes",'Mass Ion Calculations'!$D$18+'Mass Ion Calculations'!C23,'Mass Ion Calculations'!$F$18+'Mass Ion Calculations'!E23),IF('Mass Ion Calculations'!$D$7="Yes", 'Mass Ion Calculations'!$D$15+'Mass Ion Calculations'!C23,'Mass Ion Calculations'!$F$15+'Mass Ion Calculations'!E23)))</f>
        <v>#VALUE!</v>
      </c>
      <c r="C23" t="e">
        <f>IF(A23="","",B23+'AA Exact Masses'!Q$2)</f>
        <v>#VALUE!</v>
      </c>
      <c r="D23" t="e">
        <f>IF(A23="","",B23+'AA Exact Masses'!Q$3)</f>
        <v>#VALUE!</v>
      </c>
      <c r="E23" t="e">
        <f>IF(A23="","",(B23+2*'AA Exact Masses'!Q$2)/2)</f>
        <v>#VALUE!</v>
      </c>
      <c r="F23" t="e">
        <f>IF(A23="","",(B23+2*'AA Exact Masses'!Q$3)/2)</f>
        <v>#VALUE!</v>
      </c>
      <c r="G23" t="e">
        <f>IF(A23="","",(B23+'AA Exact Masses'!Q$2+'AA Exact Masses'!Q$3)/2)</f>
        <v>#VALUE!</v>
      </c>
      <c r="H23" t="e">
        <f>IF($A23="","",($B23+3*'AA Exact Masses'!$Q$2)/3)</f>
        <v>#VALUE!</v>
      </c>
      <c r="I23" t="e">
        <f>IF($A23="","",($B23+2*'AA Exact Masses'!$Q$2+'AA Exact Masses'!$Q$3)/3)</f>
        <v>#VALUE!</v>
      </c>
      <c r="J23" t="e">
        <f>IF($A23="","",($B23+'AA Exact Masses'!$Q$2+2*'AA Exact Masses'!$Q$3)/3)</f>
        <v>#VALUE!</v>
      </c>
      <c r="K23" t="e">
        <f>IF($A23="","",($B23+3*'AA Exact Masses'!$Q$3)/3)</f>
        <v>#VALUE!</v>
      </c>
      <c r="L23" s="1"/>
      <c r="M23" s="8" t="str">
        <f t="shared" si="0"/>
        <v>HCTU</v>
      </c>
      <c r="N23" s="3" t="str">
        <f>IF('Mass Ion Calculations'!$Y23=TRUE,(IF(A23="","",C23-'Mass Ion Calculations'!$D$5)),"")</f>
        <v/>
      </c>
      <c r="O23" s="3" t="str">
        <f>IF('Mass Ion Calculations'!$Y23=TRUE,(IF(B23="","",D23-'Mass Ion Calculations'!$D$5)),"")</f>
        <v/>
      </c>
      <c r="P23" s="3" t="str">
        <f>IF('Mass Ion Calculations'!$Y23=TRUE,(IF(C23="","",E23-'Mass Ion Calculations'!$D$5)),"")</f>
        <v/>
      </c>
      <c r="Q23" s="3" t="str">
        <f>IF('Mass Ion Calculations'!$Y23=TRUE,(IF(D23="","",F23-'Mass Ion Calculations'!$D$5)),"")</f>
        <v/>
      </c>
      <c r="R23" s="3" t="str">
        <f>IF('Mass Ion Calculations'!$Y23=TRUE,(IF(E23="","",G23-'Mass Ion Calculations'!$D$5)),"")</f>
        <v/>
      </c>
      <c r="S23" s="3" t="str">
        <f>IF('Mass Ion Calculations'!$Y23=TRUE,(IF(F23="","",H23-'Mass Ion Calculations'!$D$5)),"")</f>
        <v/>
      </c>
      <c r="T23" s="3" t="str">
        <f>IF('Mass Ion Calculations'!$Y23=TRUE,(IF(G23="","",I23-'Mass Ion Calculations'!$D$5)),"")</f>
        <v/>
      </c>
      <c r="U23" s="3" t="str">
        <f>IF('Mass Ion Calculations'!$Y23=TRUE,(IF(H23="","",J23-'Mass Ion Calculations'!$D$5)),"")</f>
        <v/>
      </c>
      <c r="V23" s="3" t="str">
        <f>IF('Mass Ion Calculations'!$Y23=TRUE,(IF(I23="","",K23-'Mass Ion Calculations'!$D$5)),"")</f>
        <v/>
      </c>
      <c r="W23" s="2"/>
      <c r="X23">
        <f t="shared" si="2"/>
        <v>1</v>
      </c>
      <c r="Y23" s="3">
        <f t="shared" si="3"/>
        <v>1</v>
      </c>
      <c r="Z23" s="3">
        <f t="shared" si="3"/>
        <v>1</v>
      </c>
      <c r="AA23" s="3">
        <f t="shared" si="5"/>
        <v>1</v>
      </c>
      <c r="AB23" s="3">
        <f t="shared" si="6"/>
        <v>1</v>
      </c>
      <c r="AC23" s="3">
        <f t="shared" si="7"/>
        <v>1</v>
      </c>
      <c r="AD23" s="3">
        <f t="shared" si="8"/>
        <v>1</v>
      </c>
      <c r="AE23" s="3">
        <f t="shared" si="9"/>
        <v>1</v>
      </c>
      <c r="AF23" s="3">
        <f t="shared" si="10"/>
        <v>1</v>
      </c>
      <c r="AG23" s="3">
        <f t="shared" si="11"/>
        <v>1</v>
      </c>
      <c r="AH23" t="str">
        <f t="shared" si="4"/>
        <v>HCTU</v>
      </c>
    </row>
    <row r="24" spans="1:34" x14ac:dyDescent="0.25">
      <c r="A24" s="4" t="str">
        <f>IF('Mass Ion Calculations'!B24="","",'Mass Ion Calculations'!B24)</f>
        <v/>
      </c>
      <c r="B24" t="str">
        <f>IF(A24="","",IF('Mass Ion Calculations'!$D$6="Yes",IF('Mass Ion Calculations'!$D$7="Yes",'Mass Ion Calculations'!$D$18+'Mass Ion Calculations'!C24,'Mass Ion Calculations'!$F$18+'Mass Ion Calculations'!E24),IF('Mass Ion Calculations'!$D$7="Yes", 'Mass Ion Calculations'!$D$15+'Mass Ion Calculations'!C24,'Mass Ion Calculations'!$F$15+'Mass Ion Calculations'!E24)))</f>
        <v/>
      </c>
      <c r="C24" t="str">
        <f>IF(A24="","",B24+'AA Exact Masses'!Q$2)</f>
        <v/>
      </c>
      <c r="D24" t="str">
        <f>IF(A24="","",B24+'AA Exact Masses'!Q$3)</f>
        <v/>
      </c>
      <c r="E24" t="str">
        <f>IF(A24="","",(B24+2*'AA Exact Masses'!Q$2)/2)</f>
        <v/>
      </c>
      <c r="F24" t="str">
        <f>IF(A24="","",(B24+2*'AA Exact Masses'!Q$3)/2)</f>
        <v/>
      </c>
      <c r="G24" t="str">
        <f>IF(A24="","",(B24+'AA Exact Masses'!Q$2+'AA Exact Masses'!Q$3)/2)</f>
        <v/>
      </c>
      <c r="H24" t="str">
        <f>IF($A24="","",($B24+3*'AA Exact Masses'!$Q$2)/3)</f>
        <v/>
      </c>
      <c r="I24" t="str">
        <f>IF($A24="","",($B24+2*'AA Exact Masses'!$Q$2+'AA Exact Masses'!$Q$3)/3)</f>
        <v/>
      </c>
      <c r="J24" t="str">
        <f>IF($A24="","",($B24+'AA Exact Masses'!$Q$2+2*'AA Exact Masses'!$Q$3)/3)</f>
        <v/>
      </c>
      <c r="K24" t="str">
        <f>IF($A24="","",($B24+3*'AA Exact Masses'!$Q$3)/3)</f>
        <v/>
      </c>
      <c r="L24" s="1"/>
      <c r="M24" s="8" t="str">
        <f t="shared" si="0"/>
        <v/>
      </c>
      <c r="N24" s="3" t="str">
        <f>IF('Mass Ion Calculations'!$Y24=TRUE,(IF(A24="","",C24-'Mass Ion Calculations'!$D$5)),"")</f>
        <v/>
      </c>
      <c r="O24" s="3" t="str">
        <f>IF('Mass Ion Calculations'!$Y24=TRUE,(IF(B24="","",D24-'Mass Ion Calculations'!$D$5)),"")</f>
        <v/>
      </c>
      <c r="P24" s="3" t="str">
        <f>IF('Mass Ion Calculations'!$Y24=TRUE,(IF(C24="","",E24-'Mass Ion Calculations'!$D$5)),"")</f>
        <v/>
      </c>
      <c r="Q24" s="3" t="str">
        <f>IF('Mass Ion Calculations'!$Y24=TRUE,(IF(D24="","",F24-'Mass Ion Calculations'!$D$5)),"")</f>
        <v/>
      </c>
      <c r="R24" s="3" t="str">
        <f>IF('Mass Ion Calculations'!$Y24=TRUE,(IF(E24="","",G24-'Mass Ion Calculations'!$D$5)),"")</f>
        <v/>
      </c>
      <c r="S24" s="3" t="str">
        <f>IF('Mass Ion Calculations'!$Y24=TRUE,(IF(F24="","",H24-'Mass Ion Calculations'!$D$5)),"")</f>
        <v/>
      </c>
      <c r="T24" s="3" t="str">
        <f>IF('Mass Ion Calculations'!$Y24=TRUE,(IF(G24="","",I24-'Mass Ion Calculations'!$D$5)),"")</f>
        <v/>
      </c>
      <c r="U24" s="3" t="str">
        <f>IF('Mass Ion Calculations'!$Y24=TRUE,(IF(H24="","",J24-'Mass Ion Calculations'!$D$5)),"")</f>
        <v/>
      </c>
      <c r="V24" s="3" t="str">
        <f>IF('Mass Ion Calculations'!$Y24=TRUE,(IF(I24="","",K24-'Mass Ion Calculations'!$D$5)),"")</f>
        <v/>
      </c>
      <c r="W24" s="2"/>
      <c r="X24">
        <f t="shared" si="2"/>
        <v>1</v>
      </c>
      <c r="Y24" s="3">
        <f t="shared" si="3"/>
        <v>1</v>
      </c>
      <c r="Z24" s="3">
        <f t="shared" si="3"/>
        <v>1</v>
      </c>
      <c r="AA24" s="3">
        <f t="shared" si="5"/>
        <v>1</v>
      </c>
      <c r="AB24" s="3">
        <f t="shared" si="6"/>
        <v>1</v>
      </c>
      <c r="AC24" s="3">
        <f t="shared" si="7"/>
        <v>1</v>
      </c>
      <c r="AD24" s="3">
        <f t="shared" si="8"/>
        <v>1</v>
      </c>
      <c r="AE24" s="3">
        <f t="shared" si="9"/>
        <v>1</v>
      </c>
      <c r="AF24" s="3">
        <f t="shared" si="10"/>
        <v>1</v>
      </c>
      <c r="AG24" s="3">
        <f t="shared" si="11"/>
        <v>1</v>
      </c>
      <c r="AH24" t="str">
        <f t="shared" si="4"/>
        <v/>
      </c>
    </row>
    <row r="25" spans="1:34" x14ac:dyDescent="0.25">
      <c r="A25" s="4" t="str">
        <f>IF('Mass Ion Calculations'!B25="","",'Mass Ion Calculations'!B25)</f>
        <v/>
      </c>
      <c r="B25" t="str">
        <f>IF(A25="","",IF('Mass Ion Calculations'!$D$6="Yes",IF('Mass Ion Calculations'!$D$7="Yes",'Mass Ion Calculations'!$D$18+'Mass Ion Calculations'!C25,'Mass Ion Calculations'!$F$18+'Mass Ion Calculations'!E25),IF('Mass Ion Calculations'!$D$7="Yes", 'Mass Ion Calculations'!$D$15+'Mass Ion Calculations'!C25,'Mass Ion Calculations'!$F$15+'Mass Ion Calculations'!E25)))</f>
        <v/>
      </c>
      <c r="C25" t="str">
        <f>IF(A25="","",B25+'AA Exact Masses'!Q$2)</f>
        <v/>
      </c>
      <c r="D25" t="str">
        <f>IF(A25="","",B25+'AA Exact Masses'!Q$3)</f>
        <v/>
      </c>
      <c r="E25" t="str">
        <f>IF(A25="","",(B25+2*'AA Exact Masses'!Q$2)/2)</f>
        <v/>
      </c>
      <c r="F25" t="str">
        <f>IF(A25="","",(B25+2*'AA Exact Masses'!Q$3)/2)</f>
        <v/>
      </c>
      <c r="G25" t="str">
        <f>IF(A25="","",(B25+'AA Exact Masses'!Q$2+'AA Exact Masses'!Q$3)/2)</f>
        <v/>
      </c>
      <c r="H25" t="str">
        <f>IF($A25="","",($B25+3*'AA Exact Masses'!$Q$2)/3)</f>
        <v/>
      </c>
      <c r="I25" t="str">
        <f>IF($A25="","",($B25+2*'AA Exact Masses'!$Q$2+'AA Exact Masses'!$Q$3)/3)</f>
        <v/>
      </c>
      <c r="J25" t="str">
        <f>IF($A25="","",($B25+'AA Exact Masses'!$Q$2+2*'AA Exact Masses'!$Q$3)/3)</f>
        <v/>
      </c>
      <c r="K25" t="str">
        <f>IF($A25="","",($B25+3*'AA Exact Masses'!$Q$3)/3)</f>
        <v/>
      </c>
      <c r="L25" s="1"/>
      <c r="M25" s="8" t="str">
        <f t="shared" si="0"/>
        <v/>
      </c>
      <c r="N25" s="3" t="str">
        <f>IF('Mass Ion Calculations'!$Y25=TRUE,(IF(A25="","",C25-'Mass Ion Calculations'!$D$5)),"")</f>
        <v/>
      </c>
      <c r="O25" s="3" t="str">
        <f>IF('Mass Ion Calculations'!$Y25=TRUE,(IF(B25="","",D25-'Mass Ion Calculations'!$D$5)),"")</f>
        <v/>
      </c>
      <c r="P25" s="3" t="str">
        <f>IF('Mass Ion Calculations'!$Y25=TRUE,(IF(C25="","",E25-'Mass Ion Calculations'!$D$5)),"")</f>
        <v/>
      </c>
      <c r="Q25" s="3" t="str">
        <f>IF('Mass Ion Calculations'!$Y25=TRUE,(IF(D25="","",F25-'Mass Ion Calculations'!$D$5)),"")</f>
        <v/>
      </c>
      <c r="R25" s="3" t="str">
        <f>IF('Mass Ion Calculations'!$Y25=TRUE,(IF(E25="","",G25-'Mass Ion Calculations'!$D$5)),"")</f>
        <v/>
      </c>
      <c r="S25" s="3" t="str">
        <f>IF('Mass Ion Calculations'!$Y25=TRUE,(IF(F25="","",H25-'Mass Ion Calculations'!$D$5)),"")</f>
        <v/>
      </c>
      <c r="T25" s="3" t="str">
        <f>IF('Mass Ion Calculations'!$Y25=TRUE,(IF(G25="","",I25-'Mass Ion Calculations'!$D$5)),"")</f>
        <v/>
      </c>
      <c r="U25" s="3" t="str">
        <f>IF('Mass Ion Calculations'!$Y25=TRUE,(IF(H25="","",J25-'Mass Ion Calculations'!$D$5)),"")</f>
        <v/>
      </c>
      <c r="V25" s="3" t="str">
        <f>IF('Mass Ion Calculations'!$Y25=TRUE,(IF(I25="","",K25-'Mass Ion Calculations'!$D$5)),"")</f>
        <v/>
      </c>
      <c r="W25" s="2"/>
      <c r="X25">
        <f t="shared" si="2"/>
        <v>1</v>
      </c>
      <c r="Y25" s="3">
        <f t="shared" si="3"/>
        <v>1</v>
      </c>
      <c r="Z25" s="3">
        <f t="shared" si="3"/>
        <v>1</v>
      </c>
      <c r="AA25" s="3">
        <f t="shared" si="5"/>
        <v>1</v>
      </c>
      <c r="AB25" s="3">
        <f t="shared" si="6"/>
        <v>1</v>
      </c>
      <c r="AC25" s="3">
        <f t="shared" si="7"/>
        <v>1</v>
      </c>
      <c r="AD25" s="3">
        <f t="shared" si="8"/>
        <v>1</v>
      </c>
      <c r="AE25" s="3">
        <f t="shared" si="9"/>
        <v>1</v>
      </c>
      <c r="AF25" s="3">
        <f t="shared" si="10"/>
        <v>1</v>
      </c>
      <c r="AG25" s="3">
        <f t="shared" si="11"/>
        <v>1</v>
      </c>
      <c r="AH25" t="str">
        <f t="shared" si="4"/>
        <v/>
      </c>
    </row>
    <row r="26" spans="1:34" x14ac:dyDescent="0.25">
      <c r="A26" s="4" t="str">
        <f>IF('Mass Ion Calculations'!B26="","",'Mass Ion Calculations'!B26)</f>
        <v/>
      </c>
      <c r="B26" t="str">
        <f>IF(A26="","",IF('Mass Ion Calculations'!$D$6="Yes",IF('Mass Ion Calculations'!$D$7="Yes",'Mass Ion Calculations'!$D$18+'Mass Ion Calculations'!C26,'Mass Ion Calculations'!$F$18+'Mass Ion Calculations'!E26),IF('Mass Ion Calculations'!$D$7="Yes", 'Mass Ion Calculations'!$D$15+'Mass Ion Calculations'!C26,'Mass Ion Calculations'!$F$15+'Mass Ion Calculations'!E26)))</f>
        <v/>
      </c>
      <c r="C26" t="str">
        <f>IF(A26="","",B26+'AA Exact Masses'!Q$2)</f>
        <v/>
      </c>
      <c r="D26" t="str">
        <f>IF(A26="","",B26+'AA Exact Masses'!Q$3)</f>
        <v/>
      </c>
      <c r="E26" t="str">
        <f>IF(A26="","",(B26+2*'AA Exact Masses'!Q$2)/2)</f>
        <v/>
      </c>
      <c r="F26" t="str">
        <f>IF(A26="","",(B26+2*'AA Exact Masses'!Q$3)/2)</f>
        <v/>
      </c>
      <c r="G26" t="str">
        <f>IF(A26="","",(B26+'AA Exact Masses'!Q$2+'AA Exact Masses'!Q$3)/2)</f>
        <v/>
      </c>
      <c r="H26" t="str">
        <f>IF($A26="","",($B26+3*'AA Exact Masses'!$Q$2)/3)</f>
        <v/>
      </c>
      <c r="I26" t="str">
        <f>IF($A26="","",($B26+2*'AA Exact Masses'!$Q$2+'AA Exact Masses'!$Q$3)/3)</f>
        <v/>
      </c>
      <c r="J26" t="str">
        <f>IF($A26="","",($B26+'AA Exact Masses'!$Q$2+2*'AA Exact Masses'!$Q$3)/3)</f>
        <v/>
      </c>
      <c r="K26" t="str">
        <f>IF($A26="","",($B26+3*'AA Exact Masses'!$Q$3)/3)</f>
        <v/>
      </c>
      <c r="L26" s="1"/>
      <c r="M26" s="8" t="str">
        <f t="shared" si="0"/>
        <v/>
      </c>
      <c r="N26" s="3" t="str">
        <f>IF('Mass Ion Calculations'!$Y26=TRUE,(IF(A26="","",C26-'Mass Ion Calculations'!$D$5)),"")</f>
        <v/>
      </c>
      <c r="O26" s="3" t="str">
        <f>IF('Mass Ion Calculations'!$Y26=TRUE,(IF(B26="","",D26-'Mass Ion Calculations'!$D$5)),"")</f>
        <v/>
      </c>
      <c r="P26" s="3" t="str">
        <f>IF('Mass Ion Calculations'!$Y26=TRUE,(IF(C26="","",E26-'Mass Ion Calculations'!$D$5)),"")</f>
        <v/>
      </c>
      <c r="Q26" s="3" t="str">
        <f>IF('Mass Ion Calculations'!$Y26=TRUE,(IF(D26="","",F26-'Mass Ion Calculations'!$D$5)),"")</f>
        <v/>
      </c>
      <c r="R26" s="3" t="str">
        <f>IF('Mass Ion Calculations'!$Y26=TRUE,(IF(E26="","",G26-'Mass Ion Calculations'!$D$5)),"")</f>
        <v/>
      </c>
      <c r="S26" s="3" t="str">
        <f>IF('Mass Ion Calculations'!$Y26=TRUE,(IF(F26="","",H26-'Mass Ion Calculations'!$D$5)),"")</f>
        <v/>
      </c>
      <c r="T26" s="3" t="str">
        <f>IF('Mass Ion Calculations'!$Y26=TRUE,(IF(G26="","",I26-'Mass Ion Calculations'!$D$5)),"")</f>
        <v/>
      </c>
      <c r="U26" s="3" t="str">
        <f>IF('Mass Ion Calculations'!$Y26=TRUE,(IF(H26="","",J26-'Mass Ion Calculations'!$D$5)),"")</f>
        <v/>
      </c>
      <c r="V26" s="3" t="str">
        <f>IF('Mass Ion Calculations'!$Y26=TRUE,(IF(I26="","",K26-'Mass Ion Calculations'!$D$5)),"")</f>
        <v/>
      </c>
      <c r="W26" s="2"/>
      <c r="X26">
        <f t="shared" si="2"/>
        <v>1</v>
      </c>
      <c r="Y26" s="3">
        <f t="shared" si="3"/>
        <v>1</v>
      </c>
      <c r="Z26" s="3">
        <f t="shared" si="3"/>
        <v>1</v>
      </c>
      <c r="AA26" s="3">
        <f t="shared" si="5"/>
        <v>1</v>
      </c>
      <c r="AB26" s="3">
        <f t="shared" si="6"/>
        <v>1</v>
      </c>
      <c r="AC26" s="3">
        <f t="shared" si="7"/>
        <v>1</v>
      </c>
      <c r="AD26" s="3">
        <f t="shared" si="8"/>
        <v>1</v>
      </c>
      <c r="AE26" s="3">
        <f t="shared" si="9"/>
        <v>1</v>
      </c>
      <c r="AF26" s="3">
        <f t="shared" si="10"/>
        <v>1</v>
      </c>
      <c r="AG26" s="3">
        <f t="shared" si="11"/>
        <v>1</v>
      </c>
      <c r="AH26" t="str">
        <f t="shared" si="4"/>
        <v/>
      </c>
    </row>
    <row r="27" spans="1:34" x14ac:dyDescent="0.25">
      <c r="A27" s="4" t="str">
        <f>IF('Mass Ion Calculations'!B27="","",'Mass Ion Calculations'!B27)</f>
        <v/>
      </c>
      <c r="B27" t="str">
        <f>IF(A27="","",IF('Mass Ion Calculations'!$D$6="Yes",IF('Mass Ion Calculations'!$D$7="Yes",'Mass Ion Calculations'!$D$18+'Mass Ion Calculations'!C27,'Mass Ion Calculations'!$F$18+'Mass Ion Calculations'!E27),IF('Mass Ion Calculations'!$D$7="Yes", 'Mass Ion Calculations'!$D$15+'Mass Ion Calculations'!C27,'Mass Ion Calculations'!$F$15+'Mass Ion Calculations'!E27)))</f>
        <v/>
      </c>
      <c r="C27" t="str">
        <f>IF(A27="","",B27+'AA Exact Masses'!Q$2)</f>
        <v/>
      </c>
      <c r="D27" t="str">
        <f>IF(A27="","",B27+'AA Exact Masses'!Q$3)</f>
        <v/>
      </c>
      <c r="E27" t="str">
        <f>IF(A27="","",(B27+2*'AA Exact Masses'!Q$2)/2)</f>
        <v/>
      </c>
      <c r="F27" t="str">
        <f>IF(A27="","",(B27+2*'AA Exact Masses'!Q$3)/2)</f>
        <v/>
      </c>
      <c r="G27" t="str">
        <f>IF(A27="","",(B27+'AA Exact Masses'!Q$2+'AA Exact Masses'!Q$3)/2)</f>
        <v/>
      </c>
      <c r="H27" t="str">
        <f>IF($A27="","",($B27+3*'AA Exact Masses'!$Q$2)/3)</f>
        <v/>
      </c>
      <c r="I27" t="str">
        <f>IF($A27="","",($B27+2*'AA Exact Masses'!$Q$2+'AA Exact Masses'!$Q$3)/3)</f>
        <v/>
      </c>
      <c r="J27" t="str">
        <f>IF($A27="","",($B27+'AA Exact Masses'!$Q$2+2*'AA Exact Masses'!$Q$3)/3)</f>
        <v/>
      </c>
      <c r="K27" t="str">
        <f>IF($A27="","",($B27+3*'AA Exact Masses'!$Q$3)/3)</f>
        <v/>
      </c>
      <c r="L27" s="1"/>
      <c r="M27" s="8" t="str">
        <f t="shared" si="0"/>
        <v/>
      </c>
      <c r="N27" s="3" t="str">
        <f>IF('Mass Ion Calculations'!$Y27=TRUE,(IF(A27="","",C27-'Mass Ion Calculations'!$D$5)),"")</f>
        <v/>
      </c>
      <c r="O27" s="3" t="str">
        <f>IF('Mass Ion Calculations'!$Y27=TRUE,(IF(B27="","",D27-'Mass Ion Calculations'!$D$5)),"")</f>
        <v/>
      </c>
      <c r="P27" s="3" t="str">
        <f>IF('Mass Ion Calculations'!$Y27=TRUE,(IF(C27="","",E27-'Mass Ion Calculations'!$D$5)),"")</f>
        <v/>
      </c>
      <c r="Q27" s="3" t="str">
        <f>IF('Mass Ion Calculations'!$Y27=TRUE,(IF(D27="","",F27-'Mass Ion Calculations'!$D$5)),"")</f>
        <v/>
      </c>
      <c r="R27" s="3" t="str">
        <f>IF('Mass Ion Calculations'!$Y27=TRUE,(IF(E27="","",G27-'Mass Ion Calculations'!$D$5)),"")</f>
        <v/>
      </c>
      <c r="S27" s="3" t="str">
        <f>IF('Mass Ion Calculations'!$Y27=TRUE,(IF(F27="","",H27-'Mass Ion Calculations'!$D$5)),"")</f>
        <v/>
      </c>
      <c r="T27" s="3" t="str">
        <f>IF('Mass Ion Calculations'!$Y27=TRUE,(IF(G27="","",I27-'Mass Ion Calculations'!$D$5)),"")</f>
        <v/>
      </c>
      <c r="U27" s="3" t="str">
        <f>IF('Mass Ion Calculations'!$Y27=TRUE,(IF(H27="","",J27-'Mass Ion Calculations'!$D$5)),"")</f>
        <v/>
      </c>
      <c r="V27" s="3" t="str">
        <f>IF('Mass Ion Calculations'!$Y27=TRUE,(IF(I27="","",K27-'Mass Ion Calculations'!$D$5)),"")</f>
        <v/>
      </c>
      <c r="W27" s="2"/>
      <c r="X27">
        <f t="shared" si="2"/>
        <v>1</v>
      </c>
      <c r="Y27" s="3">
        <f t="shared" si="3"/>
        <v>1</v>
      </c>
      <c r="Z27" s="3">
        <f t="shared" si="3"/>
        <v>1</v>
      </c>
      <c r="AA27" s="3">
        <f t="shared" si="5"/>
        <v>1</v>
      </c>
      <c r="AB27" s="3">
        <f t="shared" si="6"/>
        <v>1</v>
      </c>
      <c r="AC27" s="3">
        <f t="shared" si="7"/>
        <v>1</v>
      </c>
      <c r="AD27" s="3">
        <f t="shared" si="8"/>
        <v>1</v>
      </c>
      <c r="AE27" s="3">
        <f t="shared" si="9"/>
        <v>1</v>
      </c>
      <c r="AF27" s="3">
        <f t="shared" si="10"/>
        <v>1</v>
      </c>
      <c r="AG27" s="3">
        <f t="shared" si="11"/>
        <v>1</v>
      </c>
      <c r="AH27" t="str">
        <f t="shared" si="4"/>
        <v/>
      </c>
    </row>
    <row r="28" spans="1:34" x14ac:dyDescent="0.25">
      <c r="A28" s="4" t="str">
        <f>IF('Mass Ion Calculations'!B28="","",'Mass Ion Calculations'!B28)</f>
        <v/>
      </c>
      <c r="B28" t="str">
        <f>IF(A28="","",IF('Mass Ion Calculations'!$D$6="Yes",IF('Mass Ion Calculations'!$D$7="Yes",'Mass Ion Calculations'!$D$18+'Mass Ion Calculations'!C28,'Mass Ion Calculations'!$F$18+'Mass Ion Calculations'!E28),IF('Mass Ion Calculations'!$D$7="Yes", 'Mass Ion Calculations'!$D$15+'Mass Ion Calculations'!C28,'Mass Ion Calculations'!$F$15+'Mass Ion Calculations'!E28)))</f>
        <v/>
      </c>
      <c r="C28" t="str">
        <f>IF(A28="","",B28+'AA Exact Masses'!Q$2)</f>
        <v/>
      </c>
      <c r="D28" t="str">
        <f>IF(A28="","",B28+'AA Exact Masses'!Q$3)</f>
        <v/>
      </c>
      <c r="E28" t="str">
        <f>IF(A28="","",(B28+2*'AA Exact Masses'!Q$2)/2)</f>
        <v/>
      </c>
      <c r="F28" t="str">
        <f>IF(A28="","",(B28+2*'AA Exact Masses'!Q$3)/2)</f>
        <v/>
      </c>
      <c r="G28" t="str">
        <f>IF(A28="","",(B28+'AA Exact Masses'!Q$2+'AA Exact Masses'!Q$3)/2)</f>
        <v/>
      </c>
      <c r="H28" t="str">
        <f>IF($A28="","",($B28+3*'AA Exact Masses'!$Q$2)/3)</f>
        <v/>
      </c>
      <c r="I28" t="str">
        <f>IF($A28="","",($B28+2*'AA Exact Masses'!$Q$2+'AA Exact Masses'!$Q$3)/3)</f>
        <v/>
      </c>
      <c r="J28" t="str">
        <f>IF($A28="","",($B28+'AA Exact Masses'!$Q$2+2*'AA Exact Masses'!$Q$3)/3)</f>
        <v/>
      </c>
      <c r="K28" t="str">
        <f>IF($A28="","",($B28+3*'AA Exact Masses'!$Q$3)/3)</f>
        <v/>
      </c>
      <c r="L28" s="1"/>
      <c r="M28" s="8" t="str">
        <f t="shared" si="0"/>
        <v/>
      </c>
      <c r="N28" s="3" t="str">
        <f>IF('Mass Ion Calculations'!$Y28=TRUE,(IF(A28="","",C28-'Mass Ion Calculations'!$D$5)),"")</f>
        <v/>
      </c>
      <c r="O28" s="3" t="str">
        <f>IF('Mass Ion Calculations'!$Y28=TRUE,(IF(B28="","",D28-'Mass Ion Calculations'!$D$5)),"")</f>
        <v/>
      </c>
      <c r="P28" s="3" t="str">
        <f>IF('Mass Ion Calculations'!$Y28=TRUE,(IF(C28="","",E28-'Mass Ion Calculations'!$D$5)),"")</f>
        <v/>
      </c>
      <c r="Q28" s="3" t="str">
        <f>IF('Mass Ion Calculations'!$Y28=TRUE,(IF(D28="","",F28-'Mass Ion Calculations'!$D$5)),"")</f>
        <v/>
      </c>
      <c r="R28" s="3" t="str">
        <f>IF('Mass Ion Calculations'!$Y28=TRUE,(IF(E28="","",G28-'Mass Ion Calculations'!$D$5)),"")</f>
        <v/>
      </c>
      <c r="S28" s="3" t="str">
        <f>IF('Mass Ion Calculations'!$Y28=TRUE,(IF(F28="","",H28-'Mass Ion Calculations'!$D$5)),"")</f>
        <v/>
      </c>
      <c r="T28" s="3" t="str">
        <f>IF('Mass Ion Calculations'!$Y28=TRUE,(IF(G28="","",I28-'Mass Ion Calculations'!$D$5)),"")</f>
        <v/>
      </c>
      <c r="U28" s="3" t="str">
        <f>IF('Mass Ion Calculations'!$Y28=TRUE,(IF(H28="","",J28-'Mass Ion Calculations'!$D$5)),"")</f>
        <v/>
      </c>
      <c r="V28" s="3" t="str">
        <f>IF('Mass Ion Calculations'!$Y28=TRUE,(IF(I28="","",K28-'Mass Ion Calculations'!$D$5)),"")</f>
        <v/>
      </c>
      <c r="W28" s="2"/>
      <c r="X28">
        <f t="shared" si="2"/>
        <v>1</v>
      </c>
      <c r="Y28" s="3">
        <f t="shared" si="3"/>
        <v>1</v>
      </c>
      <c r="Z28" s="3">
        <f t="shared" si="3"/>
        <v>1</v>
      </c>
      <c r="AA28" s="3">
        <f t="shared" si="5"/>
        <v>1</v>
      </c>
      <c r="AB28" s="3">
        <f t="shared" si="6"/>
        <v>1</v>
      </c>
      <c r="AC28" s="3">
        <f t="shared" si="7"/>
        <v>1</v>
      </c>
      <c r="AD28" s="3">
        <f t="shared" si="8"/>
        <v>1</v>
      </c>
      <c r="AE28" s="3">
        <f t="shared" si="9"/>
        <v>1</v>
      </c>
      <c r="AF28" s="3">
        <f t="shared" si="10"/>
        <v>1</v>
      </c>
      <c r="AG28" s="3">
        <f t="shared" si="11"/>
        <v>1</v>
      </c>
      <c r="AH28" t="str">
        <f t="shared" si="4"/>
        <v/>
      </c>
    </row>
    <row r="29" spans="1:34" x14ac:dyDescent="0.25">
      <c r="A29" s="4" t="str">
        <f>IF('Mass Ion Calculations'!B29="","",'Mass Ion Calculations'!B29)</f>
        <v/>
      </c>
      <c r="B29" t="str">
        <f>IF(A29="","",IF('Mass Ion Calculations'!$D$6="Yes",IF('Mass Ion Calculations'!$D$7="Yes",'Mass Ion Calculations'!$D$18+'Mass Ion Calculations'!C29,'Mass Ion Calculations'!$F$18+'Mass Ion Calculations'!E29),IF('Mass Ion Calculations'!$D$7="Yes", 'Mass Ion Calculations'!$D$15+'Mass Ion Calculations'!C29,'Mass Ion Calculations'!$F$15+'Mass Ion Calculations'!E29)))</f>
        <v/>
      </c>
      <c r="C29" t="str">
        <f>IF(A29="","",B29+'AA Exact Masses'!Q$2)</f>
        <v/>
      </c>
      <c r="D29" t="str">
        <f>IF(A29="","",B29+'AA Exact Masses'!Q$3)</f>
        <v/>
      </c>
      <c r="E29" t="str">
        <f>IF(A29="","",(B29+2*'AA Exact Masses'!Q$2)/2)</f>
        <v/>
      </c>
      <c r="F29" t="str">
        <f>IF(A29="","",(B29+2*'AA Exact Masses'!Q$3)/2)</f>
        <v/>
      </c>
      <c r="G29" t="str">
        <f>IF(A29="","",(B29+'AA Exact Masses'!Q$2+'AA Exact Masses'!Q$3)/2)</f>
        <v/>
      </c>
      <c r="H29" t="str">
        <f>IF($A29="","",($B29+3*'AA Exact Masses'!$Q$2)/3)</f>
        <v/>
      </c>
      <c r="I29" t="str">
        <f>IF($A29="","",($B29+2*'AA Exact Masses'!$Q$2+'AA Exact Masses'!$Q$3)/3)</f>
        <v/>
      </c>
      <c r="J29" t="str">
        <f>IF($A29="","",($B29+'AA Exact Masses'!$Q$2+2*'AA Exact Masses'!$Q$3)/3)</f>
        <v/>
      </c>
      <c r="K29" t="str">
        <f>IF($A29="","",($B29+3*'AA Exact Masses'!$Q$3)/3)</f>
        <v/>
      </c>
      <c r="L29" s="1"/>
      <c r="M29" s="8" t="str">
        <f t="shared" si="0"/>
        <v/>
      </c>
      <c r="N29" s="3" t="str">
        <f>IF('Mass Ion Calculations'!$Y29=TRUE,(IF(A29="","",C29-'Mass Ion Calculations'!$D$5)),"")</f>
        <v/>
      </c>
      <c r="O29" s="3" t="str">
        <f>IF('Mass Ion Calculations'!$Y29=TRUE,(IF(B29="","",D29-'Mass Ion Calculations'!$D$5)),"")</f>
        <v/>
      </c>
      <c r="P29" s="3" t="str">
        <f>IF('Mass Ion Calculations'!$Y29=TRUE,(IF(C29="","",E29-'Mass Ion Calculations'!$D$5)),"")</f>
        <v/>
      </c>
      <c r="Q29" s="3" t="str">
        <f>IF('Mass Ion Calculations'!$Y29=TRUE,(IF(D29="","",F29-'Mass Ion Calculations'!$D$5)),"")</f>
        <v/>
      </c>
      <c r="R29" s="3" t="str">
        <f>IF('Mass Ion Calculations'!$Y29=TRUE,(IF(E29="","",G29-'Mass Ion Calculations'!$D$5)),"")</f>
        <v/>
      </c>
      <c r="S29" s="3" t="str">
        <f>IF('Mass Ion Calculations'!$Y29=TRUE,(IF(F29="","",H29-'Mass Ion Calculations'!$D$5)),"")</f>
        <v/>
      </c>
      <c r="T29" s="3" t="str">
        <f>IF('Mass Ion Calculations'!$Y29=TRUE,(IF(G29="","",I29-'Mass Ion Calculations'!$D$5)),"")</f>
        <v/>
      </c>
      <c r="U29" s="3" t="str">
        <f>IF('Mass Ion Calculations'!$Y29=TRUE,(IF(H29="","",J29-'Mass Ion Calculations'!$D$5)),"")</f>
        <v/>
      </c>
      <c r="V29" s="3" t="str">
        <f>IF('Mass Ion Calculations'!$Y29=TRUE,(IF(I29="","",K29-'Mass Ion Calculations'!$D$5)),"")</f>
        <v/>
      </c>
      <c r="W29" s="2"/>
      <c r="X29">
        <f t="shared" si="2"/>
        <v>1</v>
      </c>
      <c r="Y29" s="3">
        <f t="shared" si="3"/>
        <v>1</v>
      </c>
      <c r="Z29" s="3">
        <f t="shared" si="3"/>
        <v>1</v>
      </c>
      <c r="AA29" s="3">
        <f t="shared" si="5"/>
        <v>1</v>
      </c>
      <c r="AB29" s="3">
        <f t="shared" si="6"/>
        <v>1</v>
      </c>
      <c r="AC29" s="3">
        <f t="shared" si="7"/>
        <v>1</v>
      </c>
      <c r="AD29" s="3">
        <f t="shared" si="8"/>
        <v>1</v>
      </c>
      <c r="AE29" s="3">
        <f t="shared" si="9"/>
        <v>1</v>
      </c>
      <c r="AF29" s="3">
        <f t="shared" si="10"/>
        <v>1</v>
      </c>
      <c r="AG29" s="3">
        <f t="shared" si="11"/>
        <v>1</v>
      </c>
      <c r="AH29" t="str">
        <f t="shared" si="4"/>
        <v/>
      </c>
    </row>
    <row r="30" spans="1:34" x14ac:dyDescent="0.25">
      <c r="A30" s="4" t="str">
        <f>IF('Mass Ion Calculations'!B30="","",'Mass Ion Calculations'!B30)</f>
        <v/>
      </c>
      <c r="B30" t="str">
        <f>IF(A30="","",IF('Mass Ion Calculations'!$D$6="Yes",IF('Mass Ion Calculations'!$D$7="Yes",'Mass Ion Calculations'!$D$18+'Mass Ion Calculations'!C30,'Mass Ion Calculations'!$F$18+'Mass Ion Calculations'!E30),IF('Mass Ion Calculations'!$D$7="Yes", 'Mass Ion Calculations'!$D$15+'Mass Ion Calculations'!C30,'Mass Ion Calculations'!$F$15+'Mass Ion Calculations'!E30)))</f>
        <v/>
      </c>
      <c r="C30" t="str">
        <f>IF(A30="","",B30+'AA Exact Masses'!Q$2)</f>
        <v/>
      </c>
      <c r="D30" t="str">
        <f>IF(A30="","",B30+'AA Exact Masses'!Q$3)</f>
        <v/>
      </c>
      <c r="E30" t="str">
        <f>IF(A30="","",(B30+2*'AA Exact Masses'!Q$2)/2)</f>
        <v/>
      </c>
      <c r="F30" t="str">
        <f>IF(A30="","",(B30+2*'AA Exact Masses'!Q$3)/2)</f>
        <v/>
      </c>
      <c r="G30" t="str">
        <f>IF(A30="","",(B30+'AA Exact Masses'!Q$2+'AA Exact Masses'!Q$3)/2)</f>
        <v/>
      </c>
      <c r="H30" t="str">
        <f>IF($A30="","",($B30+3*'AA Exact Masses'!$Q$2)/3)</f>
        <v/>
      </c>
      <c r="I30" t="str">
        <f>IF($A30="","",($B30+2*'AA Exact Masses'!$Q$2+'AA Exact Masses'!$Q$3)/3)</f>
        <v/>
      </c>
      <c r="J30" t="str">
        <f>IF($A30="","",($B30+'AA Exact Masses'!$Q$2+2*'AA Exact Masses'!$Q$3)/3)</f>
        <v/>
      </c>
      <c r="K30" t="str">
        <f>IF($A30="","",($B30+3*'AA Exact Masses'!$Q$3)/3)</f>
        <v/>
      </c>
      <c r="L30" s="1"/>
      <c r="M30" s="8" t="str">
        <f t="shared" si="0"/>
        <v/>
      </c>
      <c r="N30" s="3" t="str">
        <f>IF('Mass Ion Calculations'!$Y30=TRUE,(IF(A30="","",C30-'Mass Ion Calculations'!$D$5)),"")</f>
        <v/>
      </c>
      <c r="O30" s="3" t="str">
        <f>IF('Mass Ion Calculations'!$Y30=TRUE,(IF(B30="","",D30-'Mass Ion Calculations'!$D$5)),"")</f>
        <v/>
      </c>
      <c r="P30" s="3" t="str">
        <f>IF('Mass Ion Calculations'!$Y30=TRUE,(IF(C30="","",E30-'Mass Ion Calculations'!$D$5)),"")</f>
        <v/>
      </c>
      <c r="Q30" s="3" t="str">
        <f>IF('Mass Ion Calculations'!$Y30=TRUE,(IF(D30="","",F30-'Mass Ion Calculations'!$D$5)),"")</f>
        <v/>
      </c>
      <c r="R30" s="3" t="str">
        <f>IF('Mass Ion Calculations'!$Y30=TRUE,(IF(E30="","",G30-'Mass Ion Calculations'!$D$5)),"")</f>
        <v/>
      </c>
      <c r="S30" s="3" t="str">
        <f>IF('Mass Ion Calculations'!$Y30=TRUE,(IF(F30="","",H30-'Mass Ion Calculations'!$D$5)),"")</f>
        <v/>
      </c>
      <c r="T30" s="3" t="str">
        <f>IF('Mass Ion Calculations'!$Y30=TRUE,(IF(G30="","",I30-'Mass Ion Calculations'!$D$5)),"")</f>
        <v/>
      </c>
      <c r="U30" s="3" t="str">
        <f>IF('Mass Ion Calculations'!$Y30=TRUE,(IF(H30="","",J30-'Mass Ion Calculations'!$D$5)),"")</f>
        <v/>
      </c>
      <c r="V30" s="3" t="str">
        <f>IF('Mass Ion Calculations'!$Y30=TRUE,(IF(I30="","",K30-'Mass Ion Calculations'!$D$5)),"")</f>
        <v/>
      </c>
      <c r="W30" s="2"/>
      <c r="X30">
        <f t="shared" si="2"/>
        <v>1</v>
      </c>
      <c r="Y30" s="3">
        <f t="shared" si="3"/>
        <v>1</v>
      </c>
      <c r="Z30" s="3">
        <f t="shared" si="3"/>
        <v>1</v>
      </c>
      <c r="AA30" s="3">
        <f t="shared" si="5"/>
        <v>1</v>
      </c>
      <c r="AB30" s="3">
        <f t="shared" si="6"/>
        <v>1</v>
      </c>
      <c r="AC30" s="3">
        <f t="shared" si="7"/>
        <v>1</v>
      </c>
      <c r="AD30" s="3">
        <f t="shared" si="8"/>
        <v>1</v>
      </c>
      <c r="AE30" s="3">
        <f t="shared" si="9"/>
        <v>1</v>
      </c>
      <c r="AF30" s="3">
        <f t="shared" si="10"/>
        <v>1</v>
      </c>
      <c r="AG30" s="3">
        <f t="shared" si="11"/>
        <v>1</v>
      </c>
      <c r="AH30" t="str">
        <f t="shared" si="4"/>
        <v/>
      </c>
    </row>
    <row r="31" spans="1:34" x14ac:dyDescent="0.25">
      <c r="A31" s="4" t="str">
        <f>IF('Mass Ion Calculations'!B31="","",'Mass Ion Calculations'!B31)</f>
        <v/>
      </c>
      <c r="B31" t="str">
        <f>IF(A31="","",IF('Mass Ion Calculations'!$D$6="Yes",IF('Mass Ion Calculations'!$D$7="Yes",'Mass Ion Calculations'!$D$18+'Mass Ion Calculations'!C31,'Mass Ion Calculations'!$F$18+'Mass Ion Calculations'!E31),IF('Mass Ion Calculations'!$D$7="Yes", 'Mass Ion Calculations'!$D$15+'Mass Ion Calculations'!C31,'Mass Ion Calculations'!$F$15+'Mass Ion Calculations'!E31)))</f>
        <v/>
      </c>
      <c r="C31" t="str">
        <f>IF(A31="","",B31+'AA Exact Masses'!Q$2)</f>
        <v/>
      </c>
      <c r="D31" t="str">
        <f>IF(A31="","",B31+'AA Exact Masses'!Q$3)</f>
        <v/>
      </c>
      <c r="E31" t="str">
        <f>IF(A31="","",(B31+2*'AA Exact Masses'!Q$2)/2)</f>
        <v/>
      </c>
      <c r="F31" t="str">
        <f>IF(A31="","",(B31+2*'AA Exact Masses'!Q$3)/2)</f>
        <v/>
      </c>
      <c r="G31" t="str">
        <f>IF(A31="","",(B31+'AA Exact Masses'!Q$2+'AA Exact Masses'!Q$3)/2)</f>
        <v/>
      </c>
      <c r="H31" t="str">
        <f>IF($A31="","",($B31+3*'AA Exact Masses'!$Q$2)/3)</f>
        <v/>
      </c>
      <c r="I31" t="str">
        <f>IF($A31="","",($B31+2*'AA Exact Masses'!$Q$2+'AA Exact Masses'!$Q$3)/3)</f>
        <v/>
      </c>
      <c r="J31" t="str">
        <f>IF($A31="","",($B31+'AA Exact Masses'!$Q$2+2*'AA Exact Masses'!$Q$3)/3)</f>
        <v/>
      </c>
      <c r="K31" t="str">
        <f>IF($A31="","",($B31+3*'AA Exact Masses'!$Q$3)/3)</f>
        <v/>
      </c>
      <c r="L31" s="1"/>
      <c r="M31" s="8" t="str">
        <f t="shared" si="0"/>
        <v/>
      </c>
      <c r="N31" s="3" t="str">
        <f>IF('Mass Ion Calculations'!$Y31=TRUE,(IF(A31="","",C31-'Mass Ion Calculations'!$D$5)),"")</f>
        <v/>
      </c>
      <c r="O31" s="3" t="str">
        <f>IF('Mass Ion Calculations'!$Y31=TRUE,(IF(B31="","",D31-'Mass Ion Calculations'!$D$5)),"")</f>
        <v/>
      </c>
      <c r="P31" s="3" t="str">
        <f>IF('Mass Ion Calculations'!$Y31=TRUE,(IF(C31="","",E31-'Mass Ion Calculations'!$D$5)),"")</f>
        <v/>
      </c>
      <c r="Q31" s="3" t="str">
        <f>IF('Mass Ion Calculations'!$Y31=TRUE,(IF(D31="","",F31-'Mass Ion Calculations'!$D$5)),"")</f>
        <v/>
      </c>
      <c r="R31" s="3" t="str">
        <f>IF('Mass Ion Calculations'!$Y31=TRUE,(IF(E31="","",G31-'Mass Ion Calculations'!$D$5)),"")</f>
        <v/>
      </c>
      <c r="S31" s="3" t="str">
        <f>IF('Mass Ion Calculations'!$Y31=TRUE,(IF(F31="","",H31-'Mass Ion Calculations'!$D$5)),"")</f>
        <v/>
      </c>
      <c r="T31" s="3" t="str">
        <f>IF('Mass Ion Calculations'!$Y31=TRUE,(IF(G31="","",I31-'Mass Ion Calculations'!$D$5)),"")</f>
        <v/>
      </c>
      <c r="U31" s="3" t="str">
        <f>IF('Mass Ion Calculations'!$Y31=TRUE,(IF(H31="","",J31-'Mass Ion Calculations'!$D$5)),"")</f>
        <v/>
      </c>
      <c r="V31" s="3" t="str">
        <f>IF('Mass Ion Calculations'!$Y31=TRUE,(IF(I31="","",K31-'Mass Ion Calculations'!$D$5)),"")</f>
        <v/>
      </c>
      <c r="W31" s="2"/>
      <c r="X31">
        <f t="shared" si="2"/>
        <v>1</v>
      </c>
      <c r="Y31" s="3">
        <f t="shared" si="3"/>
        <v>1</v>
      </c>
      <c r="Z31" s="3">
        <f t="shared" si="3"/>
        <v>1</v>
      </c>
      <c r="AA31" s="3">
        <f t="shared" si="5"/>
        <v>1</v>
      </c>
      <c r="AB31" s="3">
        <f t="shared" si="6"/>
        <v>1</v>
      </c>
      <c r="AC31" s="3">
        <f t="shared" si="7"/>
        <v>1</v>
      </c>
      <c r="AD31" s="3">
        <f t="shared" si="8"/>
        <v>1</v>
      </c>
      <c r="AE31" s="3">
        <f t="shared" si="9"/>
        <v>1</v>
      </c>
      <c r="AF31" s="3">
        <f t="shared" si="10"/>
        <v>1</v>
      </c>
      <c r="AG31" s="3">
        <f t="shared" si="11"/>
        <v>1</v>
      </c>
      <c r="AH31" t="str">
        <f t="shared" si="4"/>
        <v/>
      </c>
    </row>
    <row r="32" spans="1:34" x14ac:dyDescent="0.25">
      <c r="A32" s="4" t="str">
        <f>IF('Mass Ion Calculations'!B32="","",'Mass Ion Calculations'!B32)</f>
        <v/>
      </c>
      <c r="B32" t="str">
        <f>IF(A32="","",IF('Mass Ion Calculations'!$D$6="Yes",IF('Mass Ion Calculations'!$D$7="Yes",'Mass Ion Calculations'!$D$18+'Mass Ion Calculations'!C32,'Mass Ion Calculations'!$F$18+'Mass Ion Calculations'!E32),IF('Mass Ion Calculations'!$D$7="Yes", 'Mass Ion Calculations'!$D$15+'Mass Ion Calculations'!C32,'Mass Ion Calculations'!$F$15+'Mass Ion Calculations'!E32)))</f>
        <v/>
      </c>
      <c r="C32" t="str">
        <f>IF(A32="","",B32+'AA Exact Masses'!Q$2)</f>
        <v/>
      </c>
      <c r="D32" t="str">
        <f>IF(A32="","",B32+'AA Exact Masses'!Q$3)</f>
        <v/>
      </c>
      <c r="E32" t="str">
        <f>IF(A32="","",(B32+2*'AA Exact Masses'!Q$2)/2)</f>
        <v/>
      </c>
      <c r="F32" t="str">
        <f>IF(A32="","",(B32+2*'AA Exact Masses'!Q$3)/2)</f>
        <v/>
      </c>
      <c r="G32" t="str">
        <f>IF(A32="","",(B32+'AA Exact Masses'!Q$2+'AA Exact Masses'!Q$3)/2)</f>
        <v/>
      </c>
      <c r="H32" t="str">
        <f>IF($A32="","",($B32+3*'AA Exact Masses'!$Q$2)/3)</f>
        <v/>
      </c>
      <c r="I32" t="str">
        <f>IF($A32="","",($B32+2*'AA Exact Masses'!$Q$2+'AA Exact Masses'!$Q$3)/3)</f>
        <v/>
      </c>
      <c r="J32" t="str">
        <f>IF($A32="","",($B32+'AA Exact Masses'!$Q$2+2*'AA Exact Masses'!$Q$3)/3)</f>
        <v/>
      </c>
      <c r="K32" t="str">
        <f>IF($A32="","",($B32+3*'AA Exact Masses'!$Q$3)/3)</f>
        <v/>
      </c>
      <c r="L32" s="1"/>
      <c r="M32" s="8" t="str">
        <f t="shared" si="0"/>
        <v/>
      </c>
      <c r="N32" s="3" t="str">
        <f>IF('Mass Ion Calculations'!$Y32=TRUE,(IF(A32="","",C32-'Mass Ion Calculations'!$D$5)),"")</f>
        <v/>
      </c>
      <c r="O32" s="3" t="str">
        <f>IF('Mass Ion Calculations'!$Y32=TRUE,(IF(B32="","",D32-'Mass Ion Calculations'!$D$5)),"")</f>
        <v/>
      </c>
      <c r="P32" s="3" t="str">
        <f>IF('Mass Ion Calculations'!$Y32=TRUE,(IF(C32="","",E32-'Mass Ion Calculations'!$D$5)),"")</f>
        <v/>
      </c>
      <c r="Q32" s="3" t="str">
        <f>IF('Mass Ion Calculations'!$Y32=TRUE,(IF(D32="","",F32-'Mass Ion Calculations'!$D$5)),"")</f>
        <v/>
      </c>
      <c r="R32" s="3" t="str">
        <f>IF('Mass Ion Calculations'!$Y32=TRUE,(IF(E32="","",G32-'Mass Ion Calculations'!$D$5)),"")</f>
        <v/>
      </c>
      <c r="S32" s="3" t="str">
        <f>IF('Mass Ion Calculations'!$Y32=TRUE,(IF(F32="","",H32-'Mass Ion Calculations'!$D$5)),"")</f>
        <v/>
      </c>
      <c r="T32" s="3" t="str">
        <f>IF('Mass Ion Calculations'!$Y32=TRUE,(IF(G32="","",I32-'Mass Ion Calculations'!$D$5)),"")</f>
        <v/>
      </c>
      <c r="U32" s="3" t="str">
        <f>IF('Mass Ion Calculations'!$Y32=TRUE,(IF(H32="","",J32-'Mass Ion Calculations'!$D$5)),"")</f>
        <v/>
      </c>
      <c r="V32" s="3" t="str">
        <f>IF('Mass Ion Calculations'!$Y32=TRUE,(IF(I32="","",K32-'Mass Ion Calculations'!$D$5)),"")</f>
        <v/>
      </c>
      <c r="W32" s="2"/>
      <c r="X32">
        <f t="shared" si="2"/>
        <v>1</v>
      </c>
      <c r="Y32" s="3">
        <f t="shared" si="3"/>
        <v>1</v>
      </c>
      <c r="Z32" s="3">
        <f t="shared" si="3"/>
        <v>1</v>
      </c>
      <c r="AA32" s="3">
        <f t="shared" si="5"/>
        <v>1</v>
      </c>
      <c r="AB32" s="3">
        <f t="shared" si="6"/>
        <v>1</v>
      </c>
      <c r="AC32" s="3">
        <f t="shared" si="7"/>
        <v>1</v>
      </c>
      <c r="AD32" s="3">
        <f t="shared" si="8"/>
        <v>1</v>
      </c>
      <c r="AE32" s="3">
        <f t="shared" si="9"/>
        <v>1</v>
      </c>
      <c r="AF32" s="3">
        <f t="shared" si="10"/>
        <v>1</v>
      </c>
      <c r="AG32" s="3">
        <f t="shared" si="11"/>
        <v>1</v>
      </c>
      <c r="AH32" t="str">
        <f t="shared" si="4"/>
        <v/>
      </c>
    </row>
    <row r="33" spans="1:34" x14ac:dyDescent="0.25">
      <c r="A33" s="4" t="str">
        <f>IF('Mass Ion Calculations'!B33="","",'Mass Ion Calculations'!B33)</f>
        <v/>
      </c>
      <c r="B33" t="str">
        <f>IF(A33="","",IF('Mass Ion Calculations'!$D$6="Yes",IF('Mass Ion Calculations'!$D$7="Yes",'Mass Ion Calculations'!$D$18+'Mass Ion Calculations'!C33,'Mass Ion Calculations'!$F$18+'Mass Ion Calculations'!E33),IF('Mass Ion Calculations'!$D$7="Yes", 'Mass Ion Calculations'!$D$15+'Mass Ion Calculations'!C33,'Mass Ion Calculations'!$F$15+'Mass Ion Calculations'!E33)))</f>
        <v/>
      </c>
      <c r="C33" t="str">
        <f>IF(A33="","",B33+'AA Exact Masses'!Q$2)</f>
        <v/>
      </c>
      <c r="D33" t="str">
        <f>IF(A33="","",B33+'AA Exact Masses'!Q$3)</f>
        <v/>
      </c>
      <c r="E33" t="str">
        <f>IF(A33="","",(B33+2*'AA Exact Masses'!Q$2)/2)</f>
        <v/>
      </c>
      <c r="F33" t="str">
        <f>IF(A33="","",(B33+2*'AA Exact Masses'!Q$3)/2)</f>
        <v/>
      </c>
      <c r="G33" t="str">
        <f>IF(A33="","",(B33+'AA Exact Masses'!Q$2+'AA Exact Masses'!Q$3)/2)</f>
        <v/>
      </c>
      <c r="H33" t="str">
        <f>IF($A33="","",($B33+3*'AA Exact Masses'!$Q$2)/3)</f>
        <v/>
      </c>
      <c r="I33" t="str">
        <f>IF($A33="","",($B33+2*'AA Exact Masses'!$Q$2+'AA Exact Masses'!$Q$3)/3)</f>
        <v/>
      </c>
      <c r="J33" t="str">
        <f>IF($A33="","",($B33+'AA Exact Masses'!$Q$2+2*'AA Exact Masses'!$Q$3)/3)</f>
        <v/>
      </c>
      <c r="K33" t="str">
        <f>IF($A33="","",($B33+3*'AA Exact Masses'!$Q$3)/3)</f>
        <v/>
      </c>
      <c r="L33" s="1"/>
      <c r="M33" s="8" t="str">
        <f t="shared" si="0"/>
        <v/>
      </c>
      <c r="N33" s="3" t="str">
        <f>IF('Mass Ion Calculations'!$Y33=TRUE,(IF(A33="","",C33-'Mass Ion Calculations'!$D$5)),"")</f>
        <v/>
      </c>
      <c r="O33" s="3" t="str">
        <f>IF('Mass Ion Calculations'!$Y33=TRUE,(IF(B33="","",D33-'Mass Ion Calculations'!$D$5)),"")</f>
        <v/>
      </c>
      <c r="P33" s="3" t="str">
        <f>IF('Mass Ion Calculations'!$Y33=TRUE,(IF(C33="","",E33-'Mass Ion Calculations'!$D$5)),"")</f>
        <v/>
      </c>
      <c r="Q33" s="3" t="str">
        <f>IF('Mass Ion Calculations'!$Y33=TRUE,(IF(D33="","",F33-'Mass Ion Calculations'!$D$5)),"")</f>
        <v/>
      </c>
      <c r="R33" s="3" t="str">
        <f>IF('Mass Ion Calculations'!$Y33=TRUE,(IF(E33="","",G33-'Mass Ion Calculations'!$D$5)),"")</f>
        <v/>
      </c>
      <c r="S33" s="3" t="str">
        <f>IF('Mass Ion Calculations'!$Y33=TRUE,(IF(F33="","",H33-'Mass Ion Calculations'!$D$5)),"")</f>
        <v/>
      </c>
      <c r="T33" s="3" t="str">
        <f>IF('Mass Ion Calculations'!$Y33=TRUE,(IF(G33="","",I33-'Mass Ion Calculations'!$D$5)),"")</f>
        <v/>
      </c>
      <c r="U33" s="3" t="str">
        <f>IF('Mass Ion Calculations'!$Y33=TRUE,(IF(H33="","",J33-'Mass Ion Calculations'!$D$5)),"")</f>
        <v/>
      </c>
      <c r="V33" s="3" t="str">
        <f>IF('Mass Ion Calculations'!$Y33=TRUE,(IF(I33="","",K33-'Mass Ion Calculations'!$D$5)),"")</f>
        <v/>
      </c>
      <c r="W33" s="2"/>
      <c r="X33">
        <f t="shared" si="2"/>
        <v>1</v>
      </c>
      <c r="Y33" s="3">
        <f t="shared" si="3"/>
        <v>1</v>
      </c>
      <c r="Z33" s="3">
        <f t="shared" si="3"/>
        <v>1</v>
      </c>
      <c r="AA33" s="3">
        <f t="shared" si="5"/>
        <v>1</v>
      </c>
      <c r="AB33" s="3">
        <f t="shared" si="6"/>
        <v>1</v>
      </c>
      <c r="AC33" s="3">
        <f t="shared" si="7"/>
        <v>1</v>
      </c>
      <c r="AD33" s="3">
        <f t="shared" si="8"/>
        <v>1</v>
      </c>
      <c r="AE33" s="3">
        <f t="shared" si="9"/>
        <v>1</v>
      </c>
      <c r="AF33" s="3">
        <f t="shared" si="10"/>
        <v>1</v>
      </c>
      <c r="AG33" s="3">
        <f t="shared" si="11"/>
        <v>1</v>
      </c>
      <c r="AH33" t="str">
        <f t="shared" si="4"/>
        <v/>
      </c>
    </row>
    <row r="34" spans="1:34" x14ac:dyDescent="0.25">
      <c r="A34" s="4" t="str">
        <f>IF('Mass Ion Calculations'!B34="","",'Mass Ion Calculations'!B34)</f>
        <v/>
      </c>
      <c r="B34" t="str">
        <f>IF(A34="","",IF('Mass Ion Calculations'!$D$6="Yes",IF('Mass Ion Calculations'!$D$7="Yes",'Mass Ion Calculations'!$D$18+'Mass Ion Calculations'!C34,'Mass Ion Calculations'!$F$18+'Mass Ion Calculations'!E34),IF('Mass Ion Calculations'!$D$7="Yes", 'Mass Ion Calculations'!$D$15+'Mass Ion Calculations'!C34,'Mass Ion Calculations'!$F$15+'Mass Ion Calculations'!E34)))</f>
        <v/>
      </c>
      <c r="C34" t="str">
        <f>IF(A34="","",B34+'AA Exact Masses'!Q$2)</f>
        <v/>
      </c>
      <c r="D34" t="str">
        <f>IF(A34="","",B34+'AA Exact Masses'!Q$3)</f>
        <v/>
      </c>
      <c r="E34" t="str">
        <f>IF(A34="","",(B34+2*'AA Exact Masses'!Q$2)/2)</f>
        <v/>
      </c>
      <c r="F34" t="str">
        <f>IF(A34="","",(B34+2*'AA Exact Masses'!Q$3)/2)</f>
        <v/>
      </c>
      <c r="G34" t="str">
        <f>IF(A34="","",(B34+'AA Exact Masses'!Q$2+'AA Exact Masses'!Q$3)/2)</f>
        <v/>
      </c>
      <c r="H34" t="str">
        <f>IF($A34="","",($B34+3*'AA Exact Masses'!$Q$2)/3)</f>
        <v/>
      </c>
      <c r="I34" t="str">
        <f>IF($A34="","",($B34+2*'AA Exact Masses'!$Q$2+'AA Exact Masses'!$Q$3)/3)</f>
        <v/>
      </c>
      <c r="J34" t="str">
        <f>IF($A34="","",($B34+'AA Exact Masses'!$Q$2+2*'AA Exact Masses'!$Q$3)/3)</f>
        <v/>
      </c>
      <c r="K34" t="str">
        <f>IF($A34="","",($B34+3*'AA Exact Masses'!$Q$3)/3)</f>
        <v/>
      </c>
      <c r="L34" s="1"/>
      <c r="M34" s="8" t="str">
        <f t="shared" si="0"/>
        <v/>
      </c>
      <c r="N34" s="3" t="str">
        <f>IF('Mass Ion Calculations'!$Y34=TRUE,(IF(A34="","",C34-'Mass Ion Calculations'!$D$5)),"")</f>
        <v/>
      </c>
      <c r="O34" s="3" t="str">
        <f>IF('Mass Ion Calculations'!$Y34=TRUE,(IF(B34="","",D34-'Mass Ion Calculations'!$D$5)),"")</f>
        <v/>
      </c>
      <c r="P34" s="3" t="str">
        <f>IF('Mass Ion Calculations'!$Y34=TRUE,(IF(C34="","",E34-'Mass Ion Calculations'!$D$5)),"")</f>
        <v/>
      </c>
      <c r="Q34" s="3" t="str">
        <f>IF('Mass Ion Calculations'!$Y34=TRUE,(IF(D34="","",F34-'Mass Ion Calculations'!$D$5)),"")</f>
        <v/>
      </c>
      <c r="R34" s="3" t="str">
        <f>IF('Mass Ion Calculations'!$Y34=TRUE,(IF(E34="","",G34-'Mass Ion Calculations'!$D$5)),"")</f>
        <v/>
      </c>
      <c r="S34" s="3" t="str">
        <f>IF('Mass Ion Calculations'!$Y34=TRUE,(IF(F34="","",H34-'Mass Ion Calculations'!$D$5)),"")</f>
        <v/>
      </c>
      <c r="T34" s="3" t="str">
        <f>IF('Mass Ion Calculations'!$Y34=TRUE,(IF(G34="","",I34-'Mass Ion Calculations'!$D$5)),"")</f>
        <v/>
      </c>
      <c r="U34" s="3" t="str">
        <f>IF('Mass Ion Calculations'!$Y34=TRUE,(IF(H34="","",J34-'Mass Ion Calculations'!$D$5)),"")</f>
        <v/>
      </c>
      <c r="V34" s="3" t="str">
        <f>IF('Mass Ion Calculations'!$Y34=TRUE,(IF(I34="","",K34-'Mass Ion Calculations'!$D$5)),"")</f>
        <v/>
      </c>
      <c r="W34" s="2"/>
      <c r="X34">
        <f t="shared" si="2"/>
        <v>1</v>
      </c>
      <c r="Y34" s="3">
        <f t="shared" si="3"/>
        <v>1</v>
      </c>
      <c r="Z34" s="3">
        <f t="shared" si="3"/>
        <v>1</v>
      </c>
      <c r="AA34" s="3">
        <f t="shared" si="5"/>
        <v>1</v>
      </c>
      <c r="AB34" s="3">
        <f t="shared" si="6"/>
        <v>1</v>
      </c>
      <c r="AC34" s="3">
        <f t="shared" si="7"/>
        <v>1</v>
      </c>
      <c r="AD34" s="3">
        <f t="shared" si="8"/>
        <v>1</v>
      </c>
      <c r="AE34" s="3">
        <f t="shared" si="9"/>
        <v>1</v>
      </c>
      <c r="AF34" s="3">
        <f t="shared" si="10"/>
        <v>1</v>
      </c>
      <c r="AG34" s="3">
        <f t="shared" si="11"/>
        <v>1</v>
      </c>
      <c r="AH34" t="str">
        <f t="shared" si="4"/>
        <v/>
      </c>
    </row>
    <row r="35" spans="1:34" x14ac:dyDescent="0.25">
      <c r="A35" s="4" t="str">
        <f>IF('Mass Ion Calculations'!B35="","",'Mass Ion Calculations'!B35)</f>
        <v/>
      </c>
      <c r="B35" t="str">
        <f>IF(A35="","",IF('Mass Ion Calculations'!$D$6="Yes",IF('Mass Ion Calculations'!$D$7="Yes",'Mass Ion Calculations'!$D$18+'Mass Ion Calculations'!C35,'Mass Ion Calculations'!$F$18+'Mass Ion Calculations'!E35),IF('Mass Ion Calculations'!$D$7="Yes", 'Mass Ion Calculations'!$D$15+'Mass Ion Calculations'!C35,'Mass Ion Calculations'!$F$15+'Mass Ion Calculations'!E35)))</f>
        <v/>
      </c>
      <c r="C35" t="str">
        <f>IF(A35="","",B35+'AA Exact Masses'!Q$2)</f>
        <v/>
      </c>
      <c r="D35" t="str">
        <f>IF(A35="","",B35+'AA Exact Masses'!Q$3)</f>
        <v/>
      </c>
      <c r="E35" t="str">
        <f>IF(A35="","",(B35+2*'AA Exact Masses'!Q$2)/2)</f>
        <v/>
      </c>
      <c r="F35" t="str">
        <f>IF(A35="","",(B35+2*'AA Exact Masses'!Q$3)/2)</f>
        <v/>
      </c>
      <c r="G35" t="str">
        <f>IF(A35="","",(B35+'AA Exact Masses'!Q$2+'AA Exact Masses'!Q$3)/2)</f>
        <v/>
      </c>
      <c r="H35" t="str">
        <f>IF($A35="","",($B35+3*'AA Exact Masses'!$Q$2)/3)</f>
        <v/>
      </c>
      <c r="I35" t="str">
        <f>IF($A35="","",($B35+2*'AA Exact Masses'!$Q$2+'AA Exact Masses'!$Q$3)/3)</f>
        <v/>
      </c>
      <c r="J35" t="str">
        <f>IF($A35="","",($B35+'AA Exact Masses'!$Q$2+2*'AA Exact Masses'!$Q$3)/3)</f>
        <v/>
      </c>
      <c r="K35" t="str">
        <f>IF($A35="","",($B35+3*'AA Exact Masses'!$Q$3)/3)</f>
        <v/>
      </c>
      <c r="L35" s="1"/>
      <c r="M35" s="8" t="str">
        <f t="shared" si="0"/>
        <v/>
      </c>
      <c r="N35" s="3" t="str">
        <f>IF('Mass Ion Calculations'!$Y35=TRUE,(IF(A35="","",C35-'Mass Ion Calculations'!$D$5)),"")</f>
        <v/>
      </c>
      <c r="O35" s="3" t="str">
        <f>IF('Mass Ion Calculations'!$Y35=TRUE,(IF(B35="","",D35-'Mass Ion Calculations'!$D$5)),"")</f>
        <v/>
      </c>
      <c r="P35" s="3" t="str">
        <f>IF('Mass Ion Calculations'!$Y35=TRUE,(IF(C35="","",E35-'Mass Ion Calculations'!$D$5)),"")</f>
        <v/>
      </c>
      <c r="Q35" s="3" t="str">
        <f>IF('Mass Ion Calculations'!$Y35=TRUE,(IF(D35="","",F35-'Mass Ion Calculations'!$D$5)),"")</f>
        <v/>
      </c>
      <c r="R35" s="3" t="str">
        <f>IF('Mass Ion Calculations'!$Y35=TRUE,(IF(E35="","",G35-'Mass Ion Calculations'!$D$5)),"")</f>
        <v/>
      </c>
      <c r="S35" s="3" t="str">
        <f>IF('Mass Ion Calculations'!$Y35=TRUE,(IF(F35="","",H35-'Mass Ion Calculations'!$D$5)),"")</f>
        <v/>
      </c>
      <c r="T35" s="3" t="str">
        <f>IF('Mass Ion Calculations'!$Y35=TRUE,(IF(G35="","",I35-'Mass Ion Calculations'!$D$5)),"")</f>
        <v/>
      </c>
      <c r="U35" s="3" t="str">
        <f>IF('Mass Ion Calculations'!$Y35=TRUE,(IF(H35="","",J35-'Mass Ion Calculations'!$D$5)),"")</f>
        <v/>
      </c>
      <c r="V35" s="3" t="str">
        <f>IF('Mass Ion Calculations'!$Y35=TRUE,(IF(I35="","",K35-'Mass Ion Calculations'!$D$5)),"")</f>
        <v/>
      </c>
      <c r="W35" s="2"/>
      <c r="X35">
        <f t="shared" si="2"/>
        <v>1</v>
      </c>
      <c r="Y35" s="3">
        <f t="shared" si="3"/>
        <v>1</v>
      </c>
      <c r="Z35" s="3">
        <f t="shared" si="3"/>
        <v>1</v>
      </c>
      <c r="AA35" s="3">
        <f t="shared" si="5"/>
        <v>1</v>
      </c>
      <c r="AB35" s="3">
        <f t="shared" si="6"/>
        <v>1</v>
      </c>
      <c r="AC35" s="3">
        <f t="shared" si="7"/>
        <v>1</v>
      </c>
      <c r="AD35" s="3">
        <f t="shared" si="8"/>
        <v>1</v>
      </c>
      <c r="AE35" s="3">
        <f t="shared" si="9"/>
        <v>1</v>
      </c>
      <c r="AF35" s="3">
        <f t="shared" si="10"/>
        <v>1</v>
      </c>
      <c r="AG35" s="3">
        <f t="shared" si="11"/>
        <v>1</v>
      </c>
      <c r="AH35" t="str">
        <f t="shared" si="4"/>
        <v/>
      </c>
    </row>
    <row r="36" spans="1:34" x14ac:dyDescent="0.25">
      <c r="A36" s="4" t="str">
        <f>IF('Mass Ion Calculations'!B36="","",'Mass Ion Calculations'!B36)</f>
        <v/>
      </c>
      <c r="B36" t="str">
        <f>IF(A36="","",IF('Mass Ion Calculations'!$D$6="Yes",IF('Mass Ion Calculations'!$D$7="Yes",'Mass Ion Calculations'!$D$18+'Mass Ion Calculations'!C36,'Mass Ion Calculations'!$F$18+'Mass Ion Calculations'!E36),IF('Mass Ion Calculations'!$D$7="Yes", 'Mass Ion Calculations'!$D$15+'Mass Ion Calculations'!C36,'Mass Ion Calculations'!$F$15+'Mass Ion Calculations'!E36)))</f>
        <v/>
      </c>
      <c r="C36" t="str">
        <f>IF(A36="","",B36+'AA Exact Masses'!Q$2)</f>
        <v/>
      </c>
      <c r="D36" t="str">
        <f>IF(A36="","",B36+'AA Exact Masses'!Q$3)</f>
        <v/>
      </c>
      <c r="E36" t="str">
        <f>IF(A36="","",(B36+2*'AA Exact Masses'!Q$2)/2)</f>
        <v/>
      </c>
      <c r="F36" t="str">
        <f>IF(A36="","",(B36+2*'AA Exact Masses'!Q$3)/2)</f>
        <v/>
      </c>
      <c r="G36" t="str">
        <f>IF(A36="","",(B36+'AA Exact Masses'!Q$2+'AA Exact Masses'!Q$3)/2)</f>
        <v/>
      </c>
      <c r="H36" t="str">
        <f>IF($A36="","",($B36+3*'AA Exact Masses'!$Q$2)/3)</f>
        <v/>
      </c>
      <c r="I36" t="str">
        <f>IF($A36="","",($B36+2*'AA Exact Masses'!$Q$2+'AA Exact Masses'!$Q$3)/3)</f>
        <v/>
      </c>
      <c r="J36" t="str">
        <f>IF($A36="","",($B36+'AA Exact Masses'!$Q$2+2*'AA Exact Masses'!$Q$3)/3)</f>
        <v/>
      </c>
      <c r="K36" t="str">
        <f>IF($A36="","",($B36+3*'AA Exact Masses'!$Q$3)/3)</f>
        <v/>
      </c>
      <c r="L36" s="1"/>
      <c r="M36" s="8" t="str">
        <f t="shared" si="0"/>
        <v/>
      </c>
      <c r="N36" s="3" t="str">
        <f>IF('Mass Ion Calculations'!$Y36=TRUE,(IF(A36="","",C36-'Mass Ion Calculations'!$D$5)),"")</f>
        <v/>
      </c>
      <c r="O36" s="3" t="str">
        <f>IF('Mass Ion Calculations'!$Y36=TRUE,(IF(B36="","",D36-'Mass Ion Calculations'!$D$5)),"")</f>
        <v/>
      </c>
      <c r="P36" s="3" t="str">
        <f>IF('Mass Ion Calculations'!$Y36=TRUE,(IF(C36="","",E36-'Mass Ion Calculations'!$D$5)),"")</f>
        <v/>
      </c>
      <c r="Q36" s="3" t="str">
        <f>IF('Mass Ion Calculations'!$Y36=TRUE,(IF(D36="","",F36-'Mass Ion Calculations'!$D$5)),"")</f>
        <v/>
      </c>
      <c r="R36" s="3" t="str">
        <f>IF('Mass Ion Calculations'!$Y36=TRUE,(IF(E36="","",G36-'Mass Ion Calculations'!$D$5)),"")</f>
        <v/>
      </c>
      <c r="S36" s="3" t="str">
        <f>IF('Mass Ion Calculations'!$Y36=TRUE,(IF(F36="","",H36-'Mass Ion Calculations'!$D$5)),"")</f>
        <v/>
      </c>
      <c r="T36" s="3" t="str">
        <f>IF('Mass Ion Calculations'!$Y36=TRUE,(IF(G36="","",I36-'Mass Ion Calculations'!$D$5)),"")</f>
        <v/>
      </c>
      <c r="U36" s="3" t="str">
        <f>IF('Mass Ion Calculations'!$Y36=TRUE,(IF(H36="","",J36-'Mass Ion Calculations'!$D$5)),"")</f>
        <v/>
      </c>
      <c r="V36" s="3" t="str">
        <f>IF('Mass Ion Calculations'!$Y36=TRUE,(IF(I36="","",K36-'Mass Ion Calculations'!$D$5)),"")</f>
        <v/>
      </c>
      <c r="W36" s="2"/>
      <c r="X36">
        <f t="shared" si="2"/>
        <v>1</v>
      </c>
      <c r="Y36" s="3">
        <f t="shared" si="3"/>
        <v>1</v>
      </c>
      <c r="Z36" s="3">
        <f t="shared" si="3"/>
        <v>1</v>
      </c>
      <c r="AA36" s="3">
        <f t="shared" si="5"/>
        <v>1</v>
      </c>
      <c r="AB36" s="3">
        <f t="shared" si="6"/>
        <v>1</v>
      </c>
      <c r="AC36" s="3">
        <f t="shared" si="7"/>
        <v>1</v>
      </c>
      <c r="AD36" s="3">
        <f t="shared" si="8"/>
        <v>1</v>
      </c>
      <c r="AE36" s="3">
        <f t="shared" si="9"/>
        <v>1</v>
      </c>
      <c r="AF36" s="3">
        <f t="shared" si="10"/>
        <v>1</v>
      </c>
      <c r="AG36" s="3">
        <f t="shared" si="11"/>
        <v>1</v>
      </c>
      <c r="AH36" t="str">
        <f t="shared" si="4"/>
        <v/>
      </c>
    </row>
    <row r="37" spans="1:34" x14ac:dyDescent="0.25">
      <c r="A37" s="4" t="str">
        <f>IF('Mass Ion Calculations'!B37="","",'Mass Ion Calculations'!B37)</f>
        <v/>
      </c>
      <c r="B37" t="str">
        <f>IF(A37="","",IF('Mass Ion Calculations'!$D$6="Yes",IF('Mass Ion Calculations'!$D$7="Yes",'Mass Ion Calculations'!$D$18+'Mass Ion Calculations'!C37,'Mass Ion Calculations'!$F$18+'Mass Ion Calculations'!E37),IF('Mass Ion Calculations'!$D$7="Yes", 'Mass Ion Calculations'!$D$15+'Mass Ion Calculations'!C37,'Mass Ion Calculations'!$F$15+'Mass Ion Calculations'!E37)))</f>
        <v/>
      </c>
      <c r="C37" t="str">
        <f>IF(A37="","",B37+'AA Exact Masses'!Q$2)</f>
        <v/>
      </c>
      <c r="D37" t="str">
        <f>IF(A37="","",B37+'AA Exact Masses'!Q$3)</f>
        <v/>
      </c>
      <c r="E37" t="str">
        <f>IF(A37="","",(B37+2*'AA Exact Masses'!Q$2)/2)</f>
        <v/>
      </c>
      <c r="F37" t="str">
        <f>IF(A37="","",(B37+2*'AA Exact Masses'!Q$3)/2)</f>
        <v/>
      </c>
      <c r="G37" t="str">
        <f>IF(A37="","",(B37+'AA Exact Masses'!Q$2+'AA Exact Masses'!Q$3)/2)</f>
        <v/>
      </c>
      <c r="H37" t="str">
        <f>IF($A37="","",($B37+3*'AA Exact Masses'!$Q$2)/3)</f>
        <v/>
      </c>
      <c r="I37" t="str">
        <f>IF($A37="","",($B37+2*'AA Exact Masses'!$Q$2+'AA Exact Masses'!$Q$3)/3)</f>
        <v/>
      </c>
      <c r="J37" t="str">
        <f>IF($A37="","",($B37+'AA Exact Masses'!$Q$2+2*'AA Exact Masses'!$Q$3)/3)</f>
        <v/>
      </c>
      <c r="K37" t="str">
        <f>IF($A37="","",($B37+3*'AA Exact Masses'!$Q$3)/3)</f>
        <v/>
      </c>
      <c r="L37" s="1"/>
      <c r="M37" s="8" t="str">
        <f t="shared" si="0"/>
        <v/>
      </c>
      <c r="N37" s="3" t="str">
        <f>IF('Mass Ion Calculations'!$Y37=TRUE,(IF(A37="","",C37-'Mass Ion Calculations'!$D$5)),"")</f>
        <v/>
      </c>
      <c r="O37" s="3" t="str">
        <f>IF('Mass Ion Calculations'!$Y37=TRUE,(IF(B37="","",D37-'Mass Ion Calculations'!$D$5)),"")</f>
        <v/>
      </c>
      <c r="P37" s="3" t="str">
        <f>IF('Mass Ion Calculations'!$Y37=TRUE,(IF(C37="","",E37-'Mass Ion Calculations'!$D$5)),"")</f>
        <v/>
      </c>
      <c r="Q37" s="3" t="str">
        <f>IF('Mass Ion Calculations'!$Y37=TRUE,(IF(D37="","",F37-'Mass Ion Calculations'!$D$5)),"")</f>
        <v/>
      </c>
      <c r="R37" s="3" t="str">
        <f>IF('Mass Ion Calculations'!$Y37=TRUE,(IF(E37="","",G37-'Mass Ion Calculations'!$D$5)),"")</f>
        <v/>
      </c>
      <c r="S37" s="3" t="str">
        <f>IF('Mass Ion Calculations'!$Y37=TRUE,(IF(F37="","",H37-'Mass Ion Calculations'!$D$5)),"")</f>
        <v/>
      </c>
      <c r="T37" s="3" t="str">
        <f>IF('Mass Ion Calculations'!$Y37=TRUE,(IF(G37="","",I37-'Mass Ion Calculations'!$D$5)),"")</f>
        <v/>
      </c>
      <c r="U37" s="3" t="str">
        <f>IF('Mass Ion Calculations'!$Y37=TRUE,(IF(H37="","",J37-'Mass Ion Calculations'!$D$5)),"")</f>
        <v/>
      </c>
      <c r="V37" s="3" t="str">
        <f>IF('Mass Ion Calculations'!$Y37=TRUE,(IF(I37="","",K37-'Mass Ion Calculations'!$D$5)),"")</f>
        <v/>
      </c>
      <c r="W37" s="2"/>
      <c r="X37">
        <f t="shared" si="2"/>
        <v>1</v>
      </c>
      <c r="Y37" s="3">
        <f t="shared" si="3"/>
        <v>1</v>
      </c>
      <c r="Z37" s="3">
        <f t="shared" si="3"/>
        <v>1</v>
      </c>
      <c r="AA37" s="3">
        <f t="shared" si="5"/>
        <v>1</v>
      </c>
      <c r="AB37" s="3">
        <f t="shared" si="6"/>
        <v>1</v>
      </c>
      <c r="AC37" s="3">
        <f t="shared" si="7"/>
        <v>1</v>
      </c>
      <c r="AD37" s="3">
        <f t="shared" si="8"/>
        <v>1</v>
      </c>
      <c r="AE37" s="3">
        <f t="shared" si="9"/>
        <v>1</v>
      </c>
      <c r="AF37" s="3">
        <f t="shared" si="10"/>
        <v>1</v>
      </c>
      <c r="AG37" s="3">
        <f t="shared" si="11"/>
        <v>1</v>
      </c>
      <c r="AH37" t="str">
        <f t="shared" si="4"/>
        <v/>
      </c>
    </row>
    <row r="38" spans="1:34" x14ac:dyDescent="0.25">
      <c r="A38" s="4" t="str">
        <f>IF('Mass Ion Calculations'!B38="","",'Mass Ion Calculations'!B38)</f>
        <v/>
      </c>
      <c r="B38" t="str">
        <f>IF(A38="","",IF('Mass Ion Calculations'!$D$6="Yes",IF('Mass Ion Calculations'!$D$7="Yes",'Mass Ion Calculations'!$D$18+'Mass Ion Calculations'!C38,'Mass Ion Calculations'!$F$18+'Mass Ion Calculations'!E38),IF('Mass Ion Calculations'!$D$7="Yes", 'Mass Ion Calculations'!$D$15+'Mass Ion Calculations'!C38,'Mass Ion Calculations'!$F$15+'Mass Ion Calculations'!E38)))</f>
        <v/>
      </c>
      <c r="C38" t="str">
        <f>IF(A38="","",B38+'AA Exact Masses'!Q$2)</f>
        <v/>
      </c>
      <c r="D38" t="str">
        <f>IF(A38="","",B38+'AA Exact Masses'!Q$3)</f>
        <v/>
      </c>
      <c r="E38" t="str">
        <f>IF(A38="","",(B38+2*'AA Exact Masses'!Q$2)/2)</f>
        <v/>
      </c>
      <c r="F38" t="str">
        <f>IF(A38="","",(B38+2*'AA Exact Masses'!Q$3)/2)</f>
        <v/>
      </c>
      <c r="G38" t="str">
        <f>IF(A38="","",(B38+'AA Exact Masses'!Q$2+'AA Exact Masses'!Q$3)/2)</f>
        <v/>
      </c>
      <c r="H38" t="str">
        <f>IF($A38="","",($B38+3*'AA Exact Masses'!$Q$2)/3)</f>
        <v/>
      </c>
      <c r="I38" t="str">
        <f>IF($A38="","",($B38+2*'AA Exact Masses'!$Q$2+'AA Exact Masses'!$Q$3)/3)</f>
        <v/>
      </c>
      <c r="J38" t="str">
        <f>IF($A38="","",($B38+'AA Exact Masses'!$Q$2+2*'AA Exact Masses'!$Q$3)/3)</f>
        <v/>
      </c>
      <c r="K38" t="str">
        <f>IF($A38="","",($B38+3*'AA Exact Masses'!$Q$3)/3)</f>
        <v/>
      </c>
      <c r="L38" s="1"/>
      <c r="M38" s="8" t="str">
        <f t="shared" si="0"/>
        <v/>
      </c>
      <c r="N38" s="3" t="str">
        <f>IF('Mass Ion Calculations'!$Y38=TRUE,(IF(A38="","",C38-'Mass Ion Calculations'!$D$5)),"")</f>
        <v/>
      </c>
      <c r="O38" s="3" t="str">
        <f>IF('Mass Ion Calculations'!$Y38=TRUE,(IF(B38="","",D38-'Mass Ion Calculations'!$D$5)),"")</f>
        <v/>
      </c>
      <c r="P38" s="3" t="str">
        <f>IF('Mass Ion Calculations'!$Y38=TRUE,(IF(C38="","",E38-'Mass Ion Calculations'!$D$5)),"")</f>
        <v/>
      </c>
      <c r="Q38" s="3" t="str">
        <f>IF('Mass Ion Calculations'!$Y38=TRUE,(IF(D38="","",F38-'Mass Ion Calculations'!$D$5)),"")</f>
        <v/>
      </c>
      <c r="R38" s="3" t="str">
        <f>IF('Mass Ion Calculations'!$Y38=TRUE,(IF(E38="","",G38-'Mass Ion Calculations'!$D$5)),"")</f>
        <v/>
      </c>
      <c r="S38" s="3" t="str">
        <f>IF('Mass Ion Calculations'!$Y38=TRUE,(IF(F38="","",H38-'Mass Ion Calculations'!$D$5)),"")</f>
        <v/>
      </c>
      <c r="T38" s="3" t="str">
        <f>IF('Mass Ion Calculations'!$Y38=TRUE,(IF(G38="","",I38-'Mass Ion Calculations'!$D$5)),"")</f>
        <v/>
      </c>
      <c r="U38" s="3" t="str">
        <f>IF('Mass Ion Calculations'!$Y38=TRUE,(IF(H38="","",J38-'Mass Ion Calculations'!$D$5)),"")</f>
        <v/>
      </c>
      <c r="V38" s="3" t="str">
        <f>IF('Mass Ion Calculations'!$Y38=TRUE,(IF(I38="","",K38-'Mass Ion Calculations'!$D$5)),"")</f>
        <v/>
      </c>
      <c r="W38" s="2"/>
      <c r="X38">
        <f t="shared" si="2"/>
        <v>1</v>
      </c>
      <c r="Y38" s="3">
        <f t="shared" si="3"/>
        <v>1</v>
      </c>
      <c r="Z38" s="3">
        <f t="shared" si="3"/>
        <v>1</v>
      </c>
      <c r="AA38" s="3">
        <f t="shared" si="5"/>
        <v>1</v>
      </c>
      <c r="AB38" s="3">
        <f t="shared" si="6"/>
        <v>1</v>
      </c>
      <c r="AC38" s="3">
        <f t="shared" si="7"/>
        <v>1</v>
      </c>
      <c r="AD38" s="3">
        <f t="shared" si="8"/>
        <v>1</v>
      </c>
      <c r="AE38" s="3">
        <f t="shared" si="9"/>
        <v>1</v>
      </c>
      <c r="AF38" s="3">
        <f t="shared" si="10"/>
        <v>1</v>
      </c>
      <c r="AG38" s="3">
        <f t="shared" si="11"/>
        <v>1</v>
      </c>
      <c r="AH38" t="str">
        <f t="shared" si="4"/>
        <v/>
      </c>
    </row>
    <row r="39" spans="1:34" x14ac:dyDescent="0.25">
      <c r="A39" s="4" t="str">
        <f>IF('Mass Ion Calculations'!B39="","",'Mass Ion Calculations'!B39)</f>
        <v/>
      </c>
      <c r="B39" t="str">
        <f>IF(A39="","",IF('Mass Ion Calculations'!$D$6="Yes",IF('Mass Ion Calculations'!$D$7="Yes",'Mass Ion Calculations'!$D$18+'Mass Ion Calculations'!C39,'Mass Ion Calculations'!$F$18+'Mass Ion Calculations'!E39),IF('Mass Ion Calculations'!$D$7="Yes", 'Mass Ion Calculations'!$D$15+'Mass Ion Calculations'!C39,'Mass Ion Calculations'!$F$15+'Mass Ion Calculations'!E39)))</f>
        <v/>
      </c>
      <c r="C39" t="str">
        <f>IF(A39="","",B39+'AA Exact Masses'!Q$2)</f>
        <v/>
      </c>
      <c r="D39" t="str">
        <f>IF(A39="","",B39+'AA Exact Masses'!Q$3)</f>
        <v/>
      </c>
      <c r="E39" t="str">
        <f>IF(A39="","",(B39+2*'AA Exact Masses'!Q$2)/2)</f>
        <v/>
      </c>
      <c r="F39" t="str">
        <f>IF(A39="","",(B39+2*'AA Exact Masses'!Q$3)/2)</f>
        <v/>
      </c>
      <c r="G39" t="str">
        <f>IF(A39="","",(B39+'AA Exact Masses'!Q$2+'AA Exact Masses'!Q$3)/2)</f>
        <v/>
      </c>
      <c r="H39" t="str">
        <f>IF($A39="","",($B39+3*'AA Exact Masses'!$Q$2)/3)</f>
        <v/>
      </c>
      <c r="I39" t="str">
        <f>IF($A39="","",($B39+2*'AA Exact Masses'!$Q$2+'AA Exact Masses'!$Q$3)/3)</f>
        <v/>
      </c>
      <c r="J39" t="str">
        <f>IF($A39="","",($B39+'AA Exact Masses'!$Q$2+2*'AA Exact Masses'!$Q$3)/3)</f>
        <v/>
      </c>
      <c r="K39" t="str">
        <f>IF($A39="","",($B39+3*'AA Exact Masses'!$Q$3)/3)</f>
        <v/>
      </c>
      <c r="L39" s="1"/>
      <c r="M39" s="8" t="str">
        <f t="shared" si="0"/>
        <v/>
      </c>
      <c r="N39" s="3" t="str">
        <f>IF('Mass Ion Calculations'!$Y39=TRUE,(IF(A39="","",C39-'Mass Ion Calculations'!$D$5)),"")</f>
        <v/>
      </c>
      <c r="O39" s="3" t="str">
        <f>IF('Mass Ion Calculations'!$Y39=TRUE,(IF(B39="","",D39-'Mass Ion Calculations'!$D$5)),"")</f>
        <v/>
      </c>
      <c r="P39" s="3" t="str">
        <f>IF('Mass Ion Calculations'!$Y39=TRUE,(IF(C39="","",E39-'Mass Ion Calculations'!$D$5)),"")</f>
        <v/>
      </c>
      <c r="Q39" s="3" t="str">
        <f>IF('Mass Ion Calculations'!$Y39=TRUE,(IF(D39="","",F39-'Mass Ion Calculations'!$D$5)),"")</f>
        <v/>
      </c>
      <c r="R39" s="3" t="str">
        <f>IF('Mass Ion Calculations'!$Y39=TRUE,(IF(E39="","",G39-'Mass Ion Calculations'!$D$5)),"")</f>
        <v/>
      </c>
      <c r="S39" s="3" t="str">
        <f>IF('Mass Ion Calculations'!$Y39=TRUE,(IF(F39="","",H39-'Mass Ion Calculations'!$D$5)),"")</f>
        <v/>
      </c>
      <c r="T39" s="3" t="str">
        <f>IF('Mass Ion Calculations'!$Y39=TRUE,(IF(G39="","",I39-'Mass Ion Calculations'!$D$5)),"")</f>
        <v/>
      </c>
      <c r="U39" s="3" t="str">
        <f>IF('Mass Ion Calculations'!$Y39=TRUE,(IF(H39="","",J39-'Mass Ion Calculations'!$D$5)),"")</f>
        <v/>
      </c>
      <c r="V39" s="3" t="str">
        <f>IF('Mass Ion Calculations'!$Y39=TRUE,(IF(I39="","",K39-'Mass Ion Calculations'!$D$5)),"")</f>
        <v/>
      </c>
      <c r="W39" s="2"/>
      <c r="X39">
        <f t="shared" si="2"/>
        <v>1</v>
      </c>
      <c r="Y39" s="3">
        <f t="shared" si="3"/>
        <v>1</v>
      </c>
      <c r="Z39" s="3">
        <f t="shared" si="3"/>
        <v>1</v>
      </c>
      <c r="AA39" s="3">
        <f t="shared" si="5"/>
        <v>1</v>
      </c>
      <c r="AB39" s="3">
        <f t="shared" si="6"/>
        <v>1</v>
      </c>
      <c r="AC39" s="3">
        <f t="shared" si="7"/>
        <v>1</v>
      </c>
      <c r="AD39" s="3">
        <f t="shared" si="8"/>
        <v>1</v>
      </c>
      <c r="AE39" s="3">
        <f t="shared" si="9"/>
        <v>1</v>
      </c>
      <c r="AF39" s="3">
        <f t="shared" si="10"/>
        <v>1</v>
      </c>
      <c r="AG39" s="3">
        <f t="shared" si="11"/>
        <v>1</v>
      </c>
      <c r="AH39" t="str">
        <f t="shared" si="4"/>
        <v/>
      </c>
    </row>
    <row r="40" spans="1:34" x14ac:dyDescent="0.25">
      <c r="A40" s="4" t="str">
        <f>IF('Mass Ion Calculations'!B40="","",'Mass Ion Calculations'!B40)</f>
        <v/>
      </c>
      <c r="B40" t="str">
        <f>IF(A40="","",IF('Mass Ion Calculations'!$D$6="Yes",IF('Mass Ion Calculations'!$D$7="Yes",'Mass Ion Calculations'!$D$18+'Mass Ion Calculations'!C40,'Mass Ion Calculations'!$F$18+'Mass Ion Calculations'!E40),IF('Mass Ion Calculations'!$D$7="Yes", 'Mass Ion Calculations'!$D$15+'Mass Ion Calculations'!C40,'Mass Ion Calculations'!$F$15+'Mass Ion Calculations'!E40)))</f>
        <v/>
      </c>
      <c r="C40" t="str">
        <f>IF(A40="","",B40+'AA Exact Masses'!Q$2)</f>
        <v/>
      </c>
      <c r="D40" t="str">
        <f>IF(A40="","",B40+'AA Exact Masses'!Q$3)</f>
        <v/>
      </c>
      <c r="E40" t="str">
        <f>IF(A40="","",(B40+2*'AA Exact Masses'!Q$2)/2)</f>
        <v/>
      </c>
      <c r="F40" t="str">
        <f>IF(A40="","",(B40+2*'AA Exact Masses'!Q$3)/2)</f>
        <v/>
      </c>
      <c r="G40" t="str">
        <f>IF(A40="","",(B40+'AA Exact Masses'!Q$2+'AA Exact Masses'!Q$3)/2)</f>
        <v/>
      </c>
      <c r="H40" t="str">
        <f>IF($A40="","",($B40+3*'AA Exact Masses'!$Q$2)/3)</f>
        <v/>
      </c>
      <c r="I40" t="str">
        <f>IF($A40="","",($B40+2*'AA Exact Masses'!$Q$2+'AA Exact Masses'!$Q$3)/3)</f>
        <v/>
      </c>
      <c r="J40" t="str">
        <f>IF($A40="","",($B40+'AA Exact Masses'!$Q$2+2*'AA Exact Masses'!$Q$3)/3)</f>
        <v/>
      </c>
      <c r="K40" t="str">
        <f>IF($A40="","",($B40+3*'AA Exact Masses'!$Q$3)/3)</f>
        <v/>
      </c>
      <c r="L40" s="1"/>
      <c r="M40" s="8" t="str">
        <f t="shared" si="0"/>
        <v/>
      </c>
      <c r="N40" s="3" t="str">
        <f>IF('Mass Ion Calculations'!$Y40=TRUE,(IF(A40="","",C40-'Mass Ion Calculations'!$D$5)),"")</f>
        <v/>
      </c>
      <c r="O40" s="3" t="str">
        <f>IF('Mass Ion Calculations'!$Y40=TRUE,(IF(B40="","",D40-'Mass Ion Calculations'!$D$5)),"")</f>
        <v/>
      </c>
      <c r="P40" s="3" t="str">
        <f>IF('Mass Ion Calculations'!$Y40=TRUE,(IF(C40="","",E40-'Mass Ion Calculations'!$D$5)),"")</f>
        <v/>
      </c>
      <c r="Q40" s="3" t="str">
        <f>IF('Mass Ion Calculations'!$Y40=TRUE,(IF(D40="","",F40-'Mass Ion Calculations'!$D$5)),"")</f>
        <v/>
      </c>
      <c r="R40" s="3" t="str">
        <f>IF('Mass Ion Calculations'!$Y40=TRUE,(IF(E40="","",G40-'Mass Ion Calculations'!$D$5)),"")</f>
        <v/>
      </c>
      <c r="S40" s="3" t="str">
        <f>IF('Mass Ion Calculations'!$Y40=TRUE,(IF(F40="","",H40-'Mass Ion Calculations'!$D$5)),"")</f>
        <v/>
      </c>
      <c r="T40" s="3" t="str">
        <f>IF('Mass Ion Calculations'!$Y40=TRUE,(IF(G40="","",I40-'Mass Ion Calculations'!$D$5)),"")</f>
        <v/>
      </c>
      <c r="U40" s="3" t="str">
        <f>IF('Mass Ion Calculations'!$Y40=TRUE,(IF(H40="","",J40-'Mass Ion Calculations'!$D$5)),"")</f>
        <v/>
      </c>
      <c r="V40" s="3" t="str">
        <f>IF('Mass Ion Calculations'!$Y40=TRUE,(IF(I40="","",K40-'Mass Ion Calculations'!$D$5)),"")</f>
        <v/>
      </c>
      <c r="W40" s="2"/>
      <c r="X40">
        <f t="shared" si="2"/>
        <v>1</v>
      </c>
      <c r="Y40" s="3">
        <f t="shared" si="3"/>
        <v>1</v>
      </c>
      <c r="Z40" s="3">
        <f t="shared" si="3"/>
        <v>1</v>
      </c>
      <c r="AA40" s="3">
        <f t="shared" si="5"/>
        <v>1</v>
      </c>
      <c r="AB40" s="3">
        <f t="shared" si="6"/>
        <v>1</v>
      </c>
      <c r="AC40" s="3">
        <f t="shared" si="7"/>
        <v>1</v>
      </c>
      <c r="AD40" s="3">
        <f t="shared" si="8"/>
        <v>1</v>
      </c>
      <c r="AE40" s="3">
        <f t="shared" si="9"/>
        <v>1</v>
      </c>
      <c r="AF40" s="3">
        <f t="shared" si="10"/>
        <v>1</v>
      </c>
      <c r="AG40" s="3">
        <f t="shared" si="11"/>
        <v>1</v>
      </c>
      <c r="AH40" t="str">
        <f t="shared" si="4"/>
        <v/>
      </c>
    </row>
    <row r="41" spans="1:34" x14ac:dyDescent="0.25">
      <c r="A41" s="4" t="str">
        <f>IF('Mass Ion Calculations'!B41="","",'Mass Ion Calculations'!B41)</f>
        <v/>
      </c>
      <c r="B41" t="str">
        <f>IF(A41="","",IF('Mass Ion Calculations'!$D$6="Yes",IF('Mass Ion Calculations'!$D$7="Yes",'Mass Ion Calculations'!$D$18+'Mass Ion Calculations'!C41,'Mass Ion Calculations'!$F$18+'Mass Ion Calculations'!E41),IF('Mass Ion Calculations'!$D$7="Yes", 'Mass Ion Calculations'!$D$15+'Mass Ion Calculations'!C41,'Mass Ion Calculations'!$F$15+'Mass Ion Calculations'!E41)))</f>
        <v/>
      </c>
      <c r="C41" t="str">
        <f>IF(A41="","",B41+'AA Exact Masses'!Q$2)</f>
        <v/>
      </c>
      <c r="D41" t="str">
        <f>IF(A41="","",B41+'AA Exact Masses'!Q$3)</f>
        <v/>
      </c>
      <c r="E41" t="str">
        <f>IF(A41="","",(B41+2*'AA Exact Masses'!Q$2)/2)</f>
        <v/>
      </c>
      <c r="F41" t="str">
        <f>IF(A41="","",(B41+2*'AA Exact Masses'!Q$3)/2)</f>
        <v/>
      </c>
      <c r="G41" t="str">
        <f>IF(A41="","",(B41+'AA Exact Masses'!Q$2+'AA Exact Masses'!Q$3)/2)</f>
        <v/>
      </c>
      <c r="H41" t="str">
        <f>IF($A41="","",($B41+3*'AA Exact Masses'!$Q$2)/3)</f>
        <v/>
      </c>
      <c r="I41" t="str">
        <f>IF($A41="","",($B41+2*'AA Exact Masses'!$Q$2+'AA Exact Masses'!$Q$3)/3)</f>
        <v/>
      </c>
      <c r="J41" t="str">
        <f>IF($A41="","",($B41+'AA Exact Masses'!$Q$2+2*'AA Exact Masses'!$Q$3)/3)</f>
        <v/>
      </c>
      <c r="K41" t="str">
        <f>IF($A41="","",($B41+3*'AA Exact Masses'!$Q$3)/3)</f>
        <v/>
      </c>
      <c r="L41" s="1"/>
      <c r="M41" s="8" t="str">
        <f t="shared" si="0"/>
        <v/>
      </c>
      <c r="N41" s="3" t="str">
        <f>IF('Mass Ion Calculations'!$Y41=TRUE,(IF(A41="","",C41-'Mass Ion Calculations'!$D$5)),"")</f>
        <v/>
      </c>
      <c r="O41" s="3" t="str">
        <f>IF('Mass Ion Calculations'!$Y41=TRUE,(IF(B41="","",D41-'Mass Ion Calculations'!$D$5)),"")</f>
        <v/>
      </c>
      <c r="P41" s="3" t="str">
        <f>IF('Mass Ion Calculations'!$Y41=TRUE,(IF(C41="","",E41-'Mass Ion Calculations'!$D$5)),"")</f>
        <v/>
      </c>
      <c r="Q41" s="3" t="str">
        <f>IF('Mass Ion Calculations'!$Y41=TRUE,(IF(D41="","",F41-'Mass Ion Calculations'!$D$5)),"")</f>
        <v/>
      </c>
      <c r="R41" s="3" t="str">
        <f>IF('Mass Ion Calculations'!$Y41=TRUE,(IF(E41="","",G41-'Mass Ion Calculations'!$D$5)),"")</f>
        <v/>
      </c>
      <c r="S41" s="3" t="str">
        <f>IF('Mass Ion Calculations'!$Y41=TRUE,(IF(F41="","",H41-'Mass Ion Calculations'!$D$5)),"")</f>
        <v/>
      </c>
      <c r="T41" s="3" t="str">
        <f>IF('Mass Ion Calculations'!$Y41=TRUE,(IF(G41="","",I41-'Mass Ion Calculations'!$D$5)),"")</f>
        <v/>
      </c>
      <c r="U41" s="3" t="str">
        <f>IF('Mass Ion Calculations'!$Y41=TRUE,(IF(H41="","",J41-'Mass Ion Calculations'!$D$5)),"")</f>
        <v/>
      </c>
      <c r="V41" s="3" t="str">
        <f>IF('Mass Ion Calculations'!$Y41=TRUE,(IF(I41="","",K41-'Mass Ion Calculations'!$D$5)),"")</f>
        <v/>
      </c>
      <c r="W41" s="2"/>
      <c r="X41">
        <f t="shared" si="2"/>
        <v>1</v>
      </c>
      <c r="Y41" s="3">
        <f t="shared" si="3"/>
        <v>1</v>
      </c>
      <c r="Z41" s="3">
        <f t="shared" si="3"/>
        <v>1</v>
      </c>
      <c r="AA41" s="3">
        <f t="shared" si="5"/>
        <v>1</v>
      </c>
      <c r="AB41" s="3">
        <f t="shared" si="6"/>
        <v>1</v>
      </c>
      <c r="AC41" s="3">
        <f t="shared" si="7"/>
        <v>1</v>
      </c>
      <c r="AD41" s="3">
        <f t="shared" si="8"/>
        <v>1</v>
      </c>
      <c r="AE41" s="3">
        <f t="shared" si="9"/>
        <v>1</v>
      </c>
      <c r="AF41" s="3">
        <f t="shared" si="10"/>
        <v>1</v>
      </c>
      <c r="AG41" s="3">
        <f t="shared" si="11"/>
        <v>1</v>
      </c>
    </row>
    <row r="42" spans="1:34" x14ac:dyDescent="0.25">
      <c r="A42" s="4" t="str">
        <f>IF('Mass Ion Calculations'!B42="","",'Mass Ion Calculations'!B42)</f>
        <v/>
      </c>
      <c r="B42" t="str">
        <f>IF(A42="","",IF('Mass Ion Calculations'!$D$6="Yes",IF('Mass Ion Calculations'!$D$7="Yes",'Mass Ion Calculations'!$D$18+'Mass Ion Calculations'!C42,'Mass Ion Calculations'!$F$18+'Mass Ion Calculations'!E42),IF('Mass Ion Calculations'!$D$7="Yes", 'Mass Ion Calculations'!$D$15+'Mass Ion Calculations'!C42,'Mass Ion Calculations'!$F$15+'Mass Ion Calculations'!E42)))</f>
        <v/>
      </c>
      <c r="C42" t="str">
        <f>IF(A42="","",B42+'AA Exact Masses'!Q$2)</f>
        <v/>
      </c>
      <c r="D42" t="str">
        <f>IF(A42="","",B42+'AA Exact Masses'!Q$3)</f>
        <v/>
      </c>
      <c r="E42" t="str">
        <f>IF(A42="","",(B42+2*'AA Exact Masses'!Q$2)/2)</f>
        <v/>
      </c>
      <c r="F42" t="str">
        <f>IF(A42="","",(B42+2*'AA Exact Masses'!Q$3)/2)</f>
        <v/>
      </c>
      <c r="G42" t="str">
        <f>IF(A42="","",(B42+'AA Exact Masses'!Q$2+'AA Exact Masses'!Q$3)/2)</f>
        <v/>
      </c>
      <c r="H42" t="str">
        <f>IF($A42="","",($B42+3*'AA Exact Masses'!$Q$2)/3)</f>
        <v/>
      </c>
      <c r="I42" t="str">
        <f>IF($A42="","",($B42+2*'AA Exact Masses'!$Q$2+'AA Exact Masses'!$Q$3)/3)</f>
        <v/>
      </c>
      <c r="J42" t="str">
        <f>IF($A42="","",($B42+'AA Exact Masses'!$Q$2+2*'AA Exact Masses'!$Q$3)/3)</f>
        <v/>
      </c>
      <c r="K42" t="str">
        <f>IF($A42="","",($B42+3*'AA Exact Masses'!$Q$3)/3)</f>
        <v/>
      </c>
      <c r="L42" s="1"/>
      <c r="M42" s="8" t="str">
        <f t="shared" si="0"/>
        <v/>
      </c>
      <c r="N42" s="3" t="str">
        <f>IF('Mass Ion Calculations'!$Y42=TRUE,(IF(A42="","",C42-'Mass Ion Calculations'!$D$5)),"")</f>
        <v/>
      </c>
      <c r="O42" s="3" t="str">
        <f>IF('Mass Ion Calculations'!$Y42=TRUE,(IF(B42="","",D42-'Mass Ion Calculations'!$D$5)),"")</f>
        <v/>
      </c>
      <c r="P42" s="3" t="str">
        <f>IF('Mass Ion Calculations'!$Y42=TRUE,(IF(C42="","",E42-'Mass Ion Calculations'!$D$5)),"")</f>
        <v/>
      </c>
      <c r="Q42" s="3" t="str">
        <f>IF('Mass Ion Calculations'!$Y42=TRUE,(IF(D42="","",F42-'Mass Ion Calculations'!$D$5)),"")</f>
        <v/>
      </c>
      <c r="R42" s="3" t="str">
        <f>IF('Mass Ion Calculations'!$Y42=TRUE,(IF(E42="","",G42-'Mass Ion Calculations'!$D$5)),"")</f>
        <v/>
      </c>
      <c r="S42" s="3" t="str">
        <f>IF('Mass Ion Calculations'!$Y42=TRUE,(IF(F42="","",H42-'Mass Ion Calculations'!$D$5)),"")</f>
        <v/>
      </c>
      <c r="T42" s="3" t="str">
        <f>IF('Mass Ion Calculations'!$Y42=TRUE,(IF(G42="","",I42-'Mass Ion Calculations'!$D$5)),"")</f>
        <v/>
      </c>
      <c r="U42" s="3" t="str">
        <f>IF('Mass Ion Calculations'!$Y42=TRUE,(IF(H42="","",J42-'Mass Ion Calculations'!$D$5)),"")</f>
        <v/>
      </c>
      <c r="V42" s="3" t="str">
        <f>IF('Mass Ion Calculations'!$Y42=TRUE,(IF(I42="","",K42-'Mass Ion Calculations'!$D$5)),"")</f>
        <v/>
      </c>
      <c r="W42" s="2"/>
      <c r="X42">
        <f t="shared" si="2"/>
        <v>1</v>
      </c>
      <c r="Y42" s="3">
        <f t="shared" si="3"/>
        <v>1</v>
      </c>
      <c r="Z42" s="3">
        <f t="shared" si="3"/>
        <v>1</v>
      </c>
      <c r="AA42" s="3">
        <f t="shared" si="5"/>
        <v>1</v>
      </c>
      <c r="AB42" s="3">
        <f t="shared" si="6"/>
        <v>1</v>
      </c>
      <c r="AC42" s="3">
        <f t="shared" si="7"/>
        <v>1</v>
      </c>
      <c r="AD42" s="3">
        <f t="shared" si="8"/>
        <v>1</v>
      </c>
      <c r="AE42" s="3">
        <f t="shared" si="9"/>
        <v>1</v>
      </c>
      <c r="AF42" s="3">
        <f t="shared" si="10"/>
        <v>1</v>
      </c>
      <c r="AG42" s="3">
        <f t="shared" si="11"/>
        <v>1</v>
      </c>
    </row>
    <row r="43" spans="1:34" x14ac:dyDescent="0.25">
      <c r="A43" s="4" t="str">
        <f>IF('Mass Ion Calculations'!B43="","",'Mass Ion Calculations'!B43)</f>
        <v/>
      </c>
      <c r="B43" t="str">
        <f>IF(A43="","",IF('Mass Ion Calculations'!$D$6="Yes",IF('Mass Ion Calculations'!$D$7="Yes",'Mass Ion Calculations'!$D$18+'Mass Ion Calculations'!C43,'Mass Ion Calculations'!$F$18+'Mass Ion Calculations'!E43),IF('Mass Ion Calculations'!$D$7="Yes", 'Mass Ion Calculations'!$D$15+'Mass Ion Calculations'!C43,'Mass Ion Calculations'!$F$15+'Mass Ion Calculations'!E43)))</f>
        <v/>
      </c>
      <c r="C43" t="str">
        <f>IF(A43="","",B43+'AA Exact Masses'!Q$2)</f>
        <v/>
      </c>
      <c r="D43" t="str">
        <f>IF(A43="","",B43+'AA Exact Masses'!Q$3)</f>
        <v/>
      </c>
      <c r="E43" t="str">
        <f>IF(A43="","",(B43+2*'AA Exact Masses'!Q$2)/2)</f>
        <v/>
      </c>
      <c r="F43" t="str">
        <f>IF(A43="","",(B43+2*'AA Exact Masses'!Q$3)/2)</f>
        <v/>
      </c>
      <c r="G43" t="str">
        <f>IF(A43="","",(B43+'AA Exact Masses'!Q$2+'AA Exact Masses'!Q$3)/2)</f>
        <v/>
      </c>
      <c r="H43" t="str">
        <f>IF($A43="","",($B43+3*'AA Exact Masses'!$Q$2)/3)</f>
        <v/>
      </c>
      <c r="I43" t="str">
        <f>IF($A43="","",($B43+2*'AA Exact Masses'!$Q$2+'AA Exact Masses'!$Q$3)/3)</f>
        <v/>
      </c>
      <c r="J43" t="str">
        <f>IF($A43="","",($B43+'AA Exact Masses'!$Q$2+2*'AA Exact Masses'!$Q$3)/3)</f>
        <v/>
      </c>
      <c r="K43" t="str">
        <f>IF($A43="","",($B43+3*'AA Exact Masses'!$Q$3)/3)</f>
        <v/>
      </c>
      <c r="L43" s="1"/>
      <c r="M43" s="8" t="str">
        <f t="shared" si="0"/>
        <v/>
      </c>
      <c r="N43" s="3" t="str">
        <f>IF(A43="","",C43-'Mass Ion Calculations'!$D$5)</f>
        <v/>
      </c>
      <c r="O43" s="3" t="str">
        <f>IF(A43="","",('1st Deletion Fragment'!D43-'Mass Ion Calculations'!$D$5))</f>
        <v/>
      </c>
      <c r="P43" s="3" t="str">
        <f>IF(A43="","",('1st Deletion Fragment'!E43-'Mass Ion Calculations'!$D$5))</f>
        <v/>
      </c>
      <c r="Q43" s="3" t="str">
        <f>IF(A43="","",('1st Deletion Fragment'!F43-'Mass Ion Calculations'!$D$5))</f>
        <v/>
      </c>
      <c r="R43" s="3" t="str">
        <f>IF(A43="","",('1st Deletion Fragment'!G43-'Mass Ion Calculations'!$D$5))</f>
        <v/>
      </c>
      <c r="S43" s="3" t="str">
        <f>IF($A43="","",('1st Deletion Fragment'!H43-'Mass Ion Calculations'!$D$5))</f>
        <v/>
      </c>
      <c r="T43" s="3" t="str">
        <f>IF($A43="","",('1st Deletion Fragment'!I43-'Mass Ion Calculations'!$D$5))</f>
        <v/>
      </c>
      <c r="U43" s="3" t="str">
        <f>IF($A43="","",('1st Deletion Fragment'!J43-'Mass Ion Calculations'!$D$5))</f>
        <v/>
      </c>
      <c r="V43" s="3" t="str">
        <f>IF($A43="","",('1st Deletion Fragment'!K43-'Mass Ion Calculations'!$D$5))</f>
        <v/>
      </c>
      <c r="W43" s="2"/>
      <c r="Y43" s="3">
        <f>IF(N43="",1,FLOOR(N43,1))</f>
        <v>1</v>
      </c>
      <c r="Z43" s="3">
        <f>IF(O43="",1,FLOOR(O43,1))</f>
        <v>1</v>
      </c>
      <c r="AA43" s="3">
        <f t="shared" si="5"/>
        <v>1</v>
      </c>
      <c r="AB43" s="3">
        <f t="shared" si="6"/>
        <v>1</v>
      </c>
      <c r="AC43" s="3">
        <f t="shared" si="7"/>
        <v>1</v>
      </c>
      <c r="AD43" s="3">
        <f t="shared" si="8"/>
        <v>1</v>
      </c>
      <c r="AE43" s="3">
        <f t="shared" si="9"/>
        <v>1</v>
      </c>
      <c r="AF43" s="3">
        <f t="shared" si="10"/>
        <v>1</v>
      </c>
      <c r="AG43" s="3">
        <f t="shared" si="11"/>
        <v>1</v>
      </c>
    </row>
    <row r="44" spans="1:34" x14ac:dyDescent="0.25">
      <c r="A44" s="4" t="str">
        <f>IF('Mass Ion Calculations'!B44="","",'Mass Ion Calculations'!B44)</f>
        <v/>
      </c>
      <c r="B44" t="str">
        <f>IF(A44="","",IF('Mass Ion Calculations'!$D$6="Yes",IF('Mass Ion Calculations'!$D$7="Yes",'Mass Ion Calculations'!$D$18+'Mass Ion Calculations'!C44,'Mass Ion Calculations'!$F$18+'Mass Ion Calculations'!E44),IF('Mass Ion Calculations'!$D$7="Yes", 'Mass Ion Calculations'!$D$15+'Mass Ion Calculations'!C44,'Mass Ion Calculations'!$F$15+'Mass Ion Calculations'!E44)))</f>
        <v/>
      </c>
      <c r="C44" t="str">
        <f>IF(A44="","",B44+'AA Exact Masses'!Q$2)</f>
        <v/>
      </c>
      <c r="D44" t="str">
        <f>IF(A44="","",B44+'AA Exact Masses'!Q$3)</f>
        <v/>
      </c>
      <c r="E44" t="str">
        <f>IF(A44="","",(B44+2*'AA Exact Masses'!Q$2)/2)</f>
        <v/>
      </c>
      <c r="F44" t="str">
        <f>IF(A44="","",(B44+2*'AA Exact Masses'!Q$3)/2)</f>
        <v/>
      </c>
      <c r="G44" t="str">
        <f>IF(A44="","",(B44+'AA Exact Masses'!Q$2+'AA Exact Masses'!Q$3)/2)</f>
        <v/>
      </c>
      <c r="H44" t="str">
        <f>IF($A44="","",($B44+3*'AA Exact Masses'!$Q$2)/3)</f>
        <v/>
      </c>
      <c r="I44" t="str">
        <f>IF($A44="","",($B44+2*'AA Exact Masses'!$Q$2+'AA Exact Masses'!$Q$3)/3)</f>
        <v/>
      </c>
      <c r="J44" t="str">
        <f>IF($A44="","",($B44+'AA Exact Masses'!$Q$2+2*'AA Exact Masses'!$Q$3)/3)</f>
        <v/>
      </c>
      <c r="K44" t="str">
        <f>IF($A44="","",($B44+3*'AA Exact Masses'!$Q$3)/3)</f>
        <v/>
      </c>
      <c r="L44" s="1"/>
      <c r="M44" s="8" t="str">
        <f t="shared" si="0"/>
        <v/>
      </c>
      <c r="N44" s="3" t="str">
        <f>IF(A44="","",C44-'Mass Ion Calculations'!$D$5)</f>
        <v/>
      </c>
      <c r="O44" s="3" t="str">
        <f>IF(A44="","",('1st Deletion Fragment'!D44-'Mass Ion Calculations'!$D$5))</f>
        <v/>
      </c>
      <c r="P44" s="3" t="str">
        <f>IF(A44="","",('1st Deletion Fragment'!E44-'Mass Ion Calculations'!$D$5))</f>
        <v/>
      </c>
      <c r="Q44" s="3" t="str">
        <f>IF(A44="","",('1st Deletion Fragment'!F44-'Mass Ion Calculations'!$D$5))</f>
        <v/>
      </c>
      <c r="R44" s="3" t="str">
        <f>IF(A44="","",('1st Deletion Fragment'!G44-'Mass Ion Calculations'!$D$5))</f>
        <v/>
      </c>
      <c r="S44" s="3" t="str">
        <f>IF($A44="","",('1st Deletion Fragment'!H44-'Mass Ion Calculations'!$D$5))</f>
        <v/>
      </c>
      <c r="T44" s="3" t="str">
        <f>IF($A44="","",('1st Deletion Fragment'!I44-'Mass Ion Calculations'!$D$5))</f>
        <v/>
      </c>
      <c r="U44" s="3" t="str">
        <f>IF($A44="","",('1st Deletion Fragment'!J44-'Mass Ion Calculations'!$D$5))</f>
        <v/>
      </c>
      <c r="V44" s="3" t="str">
        <f>IF($A44="","",('1st Deletion Fragment'!K44-'Mass Ion Calculations'!$D$5))</f>
        <v/>
      </c>
      <c r="W44" s="2"/>
    </row>
    <row r="45" spans="1:34" x14ac:dyDescent="0.25">
      <c r="A45" s="4" t="str">
        <f>IF('Mass Ion Calculations'!B45="","",'Mass Ion Calculations'!B45)</f>
        <v/>
      </c>
      <c r="B45" t="str">
        <f>IF(A45="","",IF('Mass Ion Calculations'!$D$6="Yes",IF('Mass Ion Calculations'!$D$7="Yes",'Mass Ion Calculations'!$D$18+'Mass Ion Calculations'!C45,'Mass Ion Calculations'!$F$18+'Mass Ion Calculations'!E45),IF('Mass Ion Calculations'!$D$7="Yes", 'Mass Ion Calculations'!$D$15+'Mass Ion Calculations'!C45,'Mass Ion Calculations'!$F$15+'Mass Ion Calculations'!E45)))</f>
        <v/>
      </c>
      <c r="C45" t="str">
        <f>IF(A45="","",B45+'AA Exact Masses'!Q$2)</f>
        <v/>
      </c>
      <c r="D45" t="str">
        <f>IF(A45="","",B45+'AA Exact Masses'!Q$3)</f>
        <v/>
      </c>
      <c r="E45" t="str">
        <f>IF(A45="","",(B45+2*'AA Exact Masses'!Q$2)/2)</f>
        <v/>
      </c>
      <c r="F45" t="str">
        <f>IF(A45="","",(B45+2*'AA Exact Masses'!Q$3)/2)</f>
        <v/>
      </c>
      <c r="G45" t="str">
        <f>IF(A45="","",(B45+'AA Exact Masses'!Q$2+'AA Exact Masses'!Q$3)/2)</f>
        <v/>
      </c>
      <c r="H45" t="str">
        <f>IF($A45="","",($B45+3*'AA Exact Masses'!$Q$2)/3)</f>
        <v/>
      </c>
      <c r="I45" t="str">
        <f>IF($A45="","",($B45+2*'AA Exact Masses'!$Q$2+'AA Exact Masses'!$Q$3)/3)</f>
        <v/>
      </c>
      <c r="J45" t="str">
        <f>IF($A45="","",($B45+'AA Exact Masses'!$Q$2+2*'AA Exact Masses'!$Q$3)/3)</f>
        <v/>
      </c>
      <c r="K45" t="str">
        <f>IF($A45="","",($B45+3*'AA Exact Masses'!$Q$3)/3)</f>
        <v/>
      </c>
      <c r="L45" s="1"/>
      <c r="M45" s="8" t="str">
        <f t="shared" si="0"/>
        <v/>
      </c>
      <c r="N45" s="3" t="str">
        <f>IF(A45="","",C45-'Mass Ion Calculations'!$D$5)</f>
        <v/>
      </c>
      <c r="O45" s="3" t="str">
        <f>IF(A45="","",('1st Deletion Fragment'!D45-'Mass Ion Calculations'!$D$5))</f>
        <v/>
      </c>
      <c r="P45" s="3" t="str">
        <f>IF(A45="","",('1st Deletion Fragment'!E45-'Mass Ion Calculations'!$D$5))</f>
        <v/>
      </c>
      <c r="Q45" s="3" t="str">
        <f>IF(A45="","",('1st Deletion Fragment'!F45-'Mass Ion Calculations'!$D$5))</f>
        <v/>
      </c>
      <c r="R45" s="3" t="str">
        <f>IF(A45="","",('1st Deletion Fragment'!G45-'Mass Ion Calculations'!$D$5))</f>
        <v/>
      </c>
      <c r="S45" s="3" t="str">
        <f>IF($A45="","",('1st Deletion Fragment'!H45-'Mass Ion Calculations'!$D$5))</f>
        <v/>
      </c>
      <c r="T45" s="3" t="str">
        <f>IF($A45="","",('1st Deletion Fragment'!I45-'Mass Ion Calculations'!$D$5))</f>
        <v/>
      </c>
      <c r="U45" s="3" t="str">
        <f>IF($A45="","",('1st Deletion Fragment'!J45-'Mass Ion Calculations'!$D$5))</f>
        <v/>
      </c>
      <c r="V45" s="3" t="str">
        <f>IF($A45="","",('1st Deletion Fragment'!K45-'Mass Ion Calculations'!$D$5))</f>
        <v/>
      </c>
      <c r="W45" s="2"/>
      <c r="Y45" s="3">
        <f>PRODUCT(Y5:Y43)</f>
        <v>7.9438426468886641E+45</v>
      </c>
      <c r="Z45" s="3">
        <f t="shared" ref="Z45:AG45" si="12">PRODUCT(Z5:Z43)</f>
        <v>1.2543233412788209E+46</v>
      </c>
      <c r="AA45" s="3">
        <f t="shared" si="12"/>
        <v>2.6129877641132954E+38</v>
      </c>
      <c r="AB45" s="3">
        <f t="shared" si="12"/>
        <v>6.0705880888465834E+37</v>
      </c>
      <c r="AC45" s="3">
        <f t="shared" si="12"/>
        <v>1.2730667422618661E+38</v>
      </c>
      <c r="AD45" s="3">
        <f t="shared" si="12"/>
        <v>1.8266537018997445E+44</v>
      </c>
      <c r="AE45" s="3">
        <f t="shared" si="12"/>
        <v>1.4983798404827838E+44</v>
      </c>
      <c r="AF45" s="3">
        <f t="shared" si="12"/>
        <v>1.2301962431837495E+44</v>
      </c>
      <c r="AG45" s="3">
        <f t="shared" si="12"/>
        <v>9.9488672218904201E+43</v>
      </c>
    </row>
    <row r="46" spans="1:34" x14ac:dyDescent="0.25">
      <c r="A46" s="4" t="str">
        <f>IF('Mass Ion Calculations'!B46="","",'Mass Ion Calculations'!B46)</f>
        <v/>
      </c>
      <c r="B46" t="str">
        <f>IF(A46="","",IF('Mass Ion Calculations'!$D$6="Yes",IF('Mass Ion Calculations'!$D$7="Yes",'Mass Ion Calculations'!$D$18+'Mass Ion Calculations'!C46,'Mass Ion Calculations'!$F$18+'Mass Ion Calculations'!E46),IF('Mass Ion Calculations'!$D$7="Yes", 'Mass Ion Calculations'!$D$15+'Mass Ion Calculations'!C46,'Mass Ion Calculations'!$F$15+'Mass Ion Calculations'!E46)))</f>
        <v/>
      </c>
      <c r="C46" t="str">
        <f>IF(A46="","",B46+'AA Exact Masses'!Q$2)</f>
        <v/>
      </c>
      <c r="D46" t="str">
        <f>IF(A46="","",B46+'AA Exact Masses'!Q$3)</f>
        <v/>
      </c>
      <c r="E46" t="str">
        <f>IF(A46="","",(B46+2*'AA Exact Masses'!Q$2)/2)</f>
        <v/>
      </c>
      <c r="F46" t="str">
        <f>IF(A46="","",(B46+2*'AA Exact Masses'!Q$3)/2)</f>
        <v/>
      </c>
      <c r="G46" t="str">
        <f>IF(A46="","",(B46+'AA Exact Masses'!Q$2+'AA Exact Masses'!Q$3)/2)</f>
        <v/>
      </c>
      <c r="H46" t="str">
        <f>IF($A46="","",($B46+3*'AA Exact Masses'!$Q$2)/3)</f>
        <v/>
      </c>
      <c r="I46" t="str">
        <f>IF($A46="","",($B46+2*'AA Exact Masses'!$Q$2+'AA Exact Masses'!$Q$3)/3)</f>
        <v/>
      </c>
      <c r="J46" t="str">
        <f>IF($A46="","",($B46+'AA Exact Masses'!$Q$2+2*'AA Exact Masses'!$Q$3)/3)</f>
        <v/>
      </c>
      <c r="K46" t="str">
        <f>IF($A46="","",($B46+3*'AA Exact Masses'!$Q$3)/3)</f>
        <v/>
      </c>
      <c r="L46" s="1"/>
      <c r="M46" s="8" t="str">
        <f t="shared" si="0"/>
        <v/>
      </c>
      <c r="N46" s="3" t="str">
        <f>IF(A46="","",C46-'Mass Ion Calculations'!$D$5)</f>
        <v/>
      </c>
      <c r="O46" s="3" t="str">
        <f>IF(A46="","",('1st Deletion Fragment'!D46-'Mass Ion Calculations'!$D$5))</f>
        <v/>
      </c>
      <c r="P46" s="3" t="str">
        <f>IF(A46="","",('1st Deletion Fragment'!E46-'Mass Ion Calculations'!$D$5))</f>
        <v/>
      </c>
      <c r="Q46" s="3" t="str">
        <f>IF(A46="","",('1st Deletion Fragment'!F46-'Mass Ion Calculations'!$D$5))</f>
        <v/>
      </c>
      <c r="R46" s="3" t="str">
        <f>IF(A46="","",('1st Deletion Fragment'!G46-'Mass Ion Calculations'!$D$5))</f>
        <v/>
      </c>
      <c r="S46" s="3" t="str">
        <f>IF($A46="","",('1st Deletion Fragment'!H46-'Mass Ion Calculations'!$D$5))</f>
        <v/>
      </c>
      <c r="T46" s="3" t="str">
        <f>IF($A46="","",('1st Deletion Fragment'!I46-'Mass Ion Calculations'!$D$5))</f>
        <v/>
      </c>
      <c r="U46" s="3" t="str">
        <f>IF($A46="","",('1st Deletion Fragment'!J46-'Mass Ion Calculations'!$D$5))</f>
        <v/>
      </c>
      <c r="V46" s="3" t="str">
        <f>IF($A46="","",('1st Deletion Fragment'!K46-'Mass Ion Calculations'!$D$5))</f>
        <v/>
      </c>
      <c r="W46" s="2"/>
      <c r="Y46" s="6" t="s">
        <v>16</v>
      </c>
      <c r="Z46" s="6" t="s">
        <v>17</v>
      </c>
      <c r="AA46" s="6" t="s">
        <v>19</v>
      </c>
      <c r="AB46" s="6" t="s">
        <v>20</v>
      </c>
      <c r="AC46" s="6" t="s">
        <v>22</v>
      </c>
      <c r="AD46" s="6" t="s">
        <v>25</v>
      </c>
      <c r="AE46" s="6" t="s">
        <v>79</v>
      </c>
      <c r="AF46" s="6" t="s">
        <v>80</v>
      </c>
      <c r="AG46" s="6" t="s">
        <v>81</v>
      </c>
    </row>
    <row r="47" spans="1:34" x14ac:dyDescent="0.25">
      <c r="A47" s="4" t="str">
        <f>IF('Mass Ion Calculations'!B47="","",'Mass Ion Calculations'!B47)</f>
        <v/>
      </c>
      <c r="B47" t="str">
        <f>IF(A47="","",IF('Mass Ion Calculations'!$D$6="Yes",IF('Mass Ion Calculations'!$D$7="Yes",'Mass Ion Calculations'!$D$18+'Mass Ion Calculations'!C47,'Mass Ion Calculations'!$F$18+'Mass Ion Calculations'!E47),IF('Mass Ion Calculations'!$D$7="Yes", 'Mass Ion Calculations'!$D$15+'Mass Ion Calculations'!C47,'Mass Ion Calculations'!$F$15+'Mass Ion Calculations'!E47)))</f>
        <v/>
      </c>
      <c r="C47" t="str">
        <f>IF(A47="","",B47+'AA Exact Masses'!Q$2)</f>
        <v/>
      </c>
      <c r="D47" t="str">
        <f>IF(A47="","",B47+'AA Exact Masses'!Q$3)</f>
        <v/>
      </c>
      <c r="E47" t="str">
        <f>IF(A47="","",(B47+2*'AA Exact Masses'!Q$2)/2)</f>
        <v/>
      </c>
      <c r="F47" t="str">
        <f>IF(A47="","",(B47+2*'AA Exact Masses'!Q$3)/2)</f>
        <v/>
      </c>
      <c r="G47" t="str">
        <f>IF(A47="","",(B47+'AA Exact Masses'!Q$2+'AA Exact Masses'!Q$3)/2)</f>
        <v/>
      </c>
      <c r="H47" t="str">
        <f>IF($A47="","",($B47+3*'AA Exact Masses'!$Q$2)/3)</f>
        <v/>
      </c>
      <c r="I47" t="str">
        <f>IF($A47="","",($B47+2*'AA Exact Masses'!$Q$2+'AA Exact Masses'!$Q$3)/3)</f>
        <v/>
      </c>
      <c r="J47" t="str">
        <f>IF($A47="","",($B47+'AA Exact Masses'!$Q$2+2*'AA Exact Masses'!$Q$3)/3)</f>
        <v/>
      </c>
      <c r="K47" t="str">
        <f>IF($A47="","",($B47+3*'AA Exact Masses'!$Q$3)/3)</f>
        <v/>
      </c>
      <c r="L47" s="1"/>
      <c r="M47" s="8" t="str">
        <f t="shared" si="0"/>
        <v/>
      </c>
      <c r="N47" s="3" t="str">
        <f>IF(A47="","",C47-'Mass Ion Calculations'!$D$5)</f>
        <v/>
      </c>
      <c r="O47" s="3" t="str">
        <f>IF(A47="","",('1st Deletion Fragment'!D47-'Mass Ion Calculations'!$D$5))</f>
        <v/>
      </c>
      <c r="P47" s="3" t="str">
        <f>IF(A47="","",('1st Deletion Fragment'!E47-'Mass Ion Calculations'!$D$5))</f>
        <v/>
      </c>
      <c r="Q47" s="3" t="str">
        <f>IF(A47="","",('1st Deletion Fragment'!F47-'Mass Ion Calculations'!$D$5))</f>
        <v/>
      </c>
      <c r="R47" s="3" t="str">
        <f>IF(A47="","",('1st Deletion Fragment'!G47-'Mass Ion Calculations'!$D$5))</f>
        <v/>
      </c>
      <c r="S47" s="3" t="str">
        <f>IF($A47="","",('1st Deletion Fragment'!H47-'Mass Ion Calculations'!$D$5))</f>
        <v/>
      </c>
      <c r="T47" s="3" t="str">
        <f>IF($A47="","",('1st Deletion Fragment'!I47-'Mass Ion Calculations'!$D$5))</f>
        <v/>
      </c>
      <c r="U47" s="3" t="str">
        <f>IF($A47="","",('1st Deletion Fragment'!J47-'Mass Ion Calculations'!$D$5))</f>
        <v/>
      </c>
      <c r="V47" s="3" t="str">
        <f>IF($A47="","",('1st Deletion Fragment'!K47-'Mass Ion Calculations'!$D$5))</f>
        <v/>
      </c>
      <c r="W47" s="2"/>
    </row>
    <row r="48" spans="1:34" x14ac:dyDescent="0.25">
      <c r="A48" s="4" t="str">
        <f>IF('Mass Ion Calculations'!B48="","",'Mass Ion Calculations'!B48)</f>
        <v/>
      </c>
      <c r="B48" t="str">
        <f>IF(A48="","",IF('Mass Ion Calculations'!$D$6="Yes",IF('Mass Ion Calculations'!$D$7="Yes",'Mass Ion Calculations'!$D$18+'Mass Ion Calculations'!C48,'Mass Ion Calculations'!$F$18+'Mass Ion Calculations'!E48),IF('Mass Ion Calculations'!$D$7="Yes", 'Mass Ion Calculations'!$D$15+'Mass Ion Calculations'!C48,'Mass Ion Calculations'!$F$15+'Mass Ion Calculations'!E48)))</f>
        <v/>
      </c>
      <c r="C48" t="str">
        <f>IF(A48="","",B48+'AA Exact Masses'!Q$2)</f>
        <v/>
      </c>
      <c r="D48" t="str">
        <f>IF(A48="","",B48+'AA Exact Masses'!Q$3)</f>
        <v/>
      </c>
      <c r="E48" t="str">
        <f>IF(A48="","",(B48+2*'AA Exact Masses'!Q$2)/2)</f>
        <v/>
      </c>
      <c r="F48" t="str">
        <f>IF(A48="","",(B48+2*'AA Exact Masses'!Q$3)/2)</f>
        <v/>
      </c>
      <c r="G48" t="str">
        <f>IF(A48="","",(B48+'AA Exact Masses'!Q$2+'AA Exact Masses'!Q$3)/2)</f>
        <v/>
      </c>
      <c r="H48" t="str">
        <f>IF($A48="","",($B48+3*'AA Exact Masses'!$Q$2)/3)</f>
        <v/>
      </c>
      <c r="I48" t="str">
        <f>IF($A48="","",($B48+2*'AA Exact Masses'!$Q$2+'AA Exact Masses'!$Q$3)/3)</f>
        <v/>
      </c>
      <c r="J48" t="str">
        <f>IF($A48="","",($B48+'AA Exact Masses'!$Q$2+2*'AA Exact Masses'!$Q$3)/3)</f>
        <v/>
      </c>
      <c r="K48" t="str">
        <f>IF($A48="","",($B48+3*'AA Exact Masses'!$Q$3)/3)</f>
        <v/>
      </c>
      <c r="L48" s="1"/>
      <c r="M48" s="8" t="str">
        <f t="shared" si="0"/>
        <v/>
      </c>
      <c r="N48" s="3" t="str">
        <f>IF(A48="","",'1st Deletion Fragment'!C48-'Mass Ion Calculations'!$D$5)</f>
        <v/>
      </c>
      <c r="O48" s="3" t="str">
        <f>IF(A48="","",('1st Deletion Fragment'!D48-'Mass Ion Calculations'!$D$5))</f>
        <v/>
      </c>
      <c r="P48" s="3" t="str">
        <f>IF(A48="","",('1st Deletion Fragment'!E48-'Mass Ion Calculations'!$D$5))</f>
        <v/>
      </c>
      <c r="Q48" s="3" t="str">
        <f>IF(A48="","",('1st Deletion Fragment'!F48-'Mass Ion Calculations'!$D$5))</f>
        <v/>
      </c>
      <c r="R48" s="3" t="str">
        <f>IF(A48="","",('1st Deletion Fragment'!G48-'Mass Ion Calculations'!$D$5))</f>
        <v/>
      </c>
      <c r="S48" s="3" t="str">
        <f>IF($A48="","",('1st Deletion Fragment'!H48-'Mass Ion Calculations'!$D$5))</f>
        <v/>
      </c>
      <c r="T48" s="3" t="str">
        <f>IF($A48="","",('1st Deletion Fragment'!I48-'Mass Ion Calculations'!$D$5))</f>
        <v/>
      </c>
      <c r="U48" s="3" t="str">
        <f>IF($A48="","",('1st Deletion Fragment'!J48-'Mass Ion Calculations'!$D$5))</f>
        <v/>
      </c>
      <c r="V48" s="3" t="str">
        <f>IF($A48="","",('1st Deletion Fragment'!K48-'Mass Ion Calculations'!$D$5))</f>
        <v/>
      </c>
      <c r="W48" s="2"/>
    </row>
    <row r="49" spans="1:23" x14ac:dyDescent="0.25">
      <c r="A49" s="4" t="str">
        <f>IF('Mass Ion Calculations'!B49="","",'Mass Ion Calculations'!B49)</f>
        <v/>
      </c>
      <c r="B49" t="str">
        <f>IF(A49="","",IF('Mass Ion Calculations'!$D$6="Yes",IF('Mass Ion Calculations'!$D$7="Yes",'Mass Ion Calculations'!$D$18+'Mass Ion Calculations'!C49,'Mass Ion Calculations'!$F$18+'Mass Ion Calculations'!E49),IF('Mass Ion Calculations'!$D$7="Yes", 'Mass Ion Calculations'!$D$15+'Mass Ion Calculations'!C49,'Mass Ion Calculations'!$F$15+'Mass Ion Calculations'!E49)))</f>
        <v/>
      </c>
      <c r="C49" t="str">
        <f>IF(A49="","",B49+'AA Exact Masses'!Q$2)</f>
        <v/>
      </c>
      <c r="D49" t="str">
        <f>IF(A49="","",B49+'AA Exact Masses'!Q$3)</f>
        <v/>
      </c>
      <c r="E49" t="str">
        <f>IF(A49="","",(B49+2*'AA Exact Masses'!Q$2)/2)</f>
        <v/>
      </c>
      <c r="F49" t="str">
        <f>IF(A49="","",(B49+2*'AA Exact Masses'!Q$3)/2)</f>
        <v/>
      </c>
      <c r="G49" t="str">
        <f>IF(A49="","",(B49+'AA Exact Masses'!Q$2+'AA Exact Masses'!Q$3)/2)</f>
        <v/>
      </c>
      <c r="H49" t="str">
        <f>IF($A49="","",($B49+3*'AA Exact Masses'!$Q$2)/3)</f>
        <v/>
      </c>
      <c r="I49" t="str">
        <f>IF($A49="","",($B49+2*'AA Exact Masses'!$Q$2+'AA Exact Masses'!$Q$3)/3)</f>
        <v/>
      </c>
      <c r="J49" t="str">
        <f>IF($A49="","",($B49+'AA Exact Masses'!$Q$2+2*'AA Exact Masses'!$Q$3)/3)</f>
        <v/>
      </c>
      <c r="K49" t="str">
        <f>IF($A49="","",($B49+3*'AA Exact Masses'!$Q$3)/3)</f>
        <v/>
      </c>
      <c r="L49" s="1"/>
      <c r="M49" s="8" t="str">
        <f t="shared" si="0"/>
        <v/>
      </c>
      <c r="N49" s="3" t="str">
        <f>IF(A49="","",'1st Deletion Fragment'!C49-'Mass Ion Calculations'!$D$5)</f>
        <v/>
      </c>
      <c r="O49" s="3" t="str">
        <f>IF(A49="","",('1st Deletion Fragment'!D49-'Mass Ion Calculations'!$D$5))</f>
        <v/>
      </c>
      <c r="P49" s="3" t="str">
        <f>IF(A49="","",('1st Deletion Fragment'!E49-'Mass Ion Calculations'!$D$5))</f>
        <v/>
      </c>
      <c r="Q49" s="3" t="str">
        <f>IF(A49="","",('1st Deletion Fragment'!F49-'Mass Ion Calculations'!$D$5))</f>
        <v/>
      </c>
      <c r="R49" s="3" t="str">
        <f>IF(A49="","",('1st Deletion Fragment'!G49-'Mass Ion Calculations'!$D$5))</f>
        <v/>
      </c>
      <c r="S49" s="3" t="str">
        <f>IF($A49="","",('1st Deletion Fragment'!H49-'Mass Ion Calculations'!$D$5))</f>
        <v/>
      </c>
      <c r="T49" s="3" t="str">
        <f>IF($A49="","",('1st Deletion Fragment'!I49-'Mass Ion Calculations'!$D$5))</f>
        <v/>
      </c>
      <c r="U49" s="3" t="str">
        <f>IF($A49="","",('1st Deletion Fragment'!J49-'Mass Ion Calculations'!$D$5))</f>
        <v/>
      </c>
      <c r="V49" s="3" t="str">
        <f>IF($A49="","",('1st Deletion Fragment'!K49-'Mass Ion Calculations'!$D$5))</f>
        <v/>
      </c>
      <c r="W49" s="2"/>
    </row>
    <row r="50" spans="1:23" x14ac:dyDescent="0.25">
      <c r="A50" s="4" t="str">
        <f>IF('Mass Ion Calculations'!B50="","",'Mass Ion Calculations'!B50)</f>
        <v/>
      </c>
      <c r="B50" t="str">
        <f>IF(A50="","",IF('Mass Ion Calculations'!$D$6="Yes",IF('Mass Ion Calculations'!$D$7="Yes",'Mass Ion Calculations'!$D$18+'Mass Ion Calculations'!C50,'Mass Ion Calculations'!$F$18+'Mass Ion Calculations'!E50),IF('Mass Ion Calculations'!$D$7="Yes", 'Mass Ion Calculations'!$D$15+'Mass Ion Calculations'!C50,'Mass Ion Calculations'!$F$15+'Mass Ion Calculations'!E50)))</f>
        <v/>
      </c>
      <c r="C50" t="str">
        <f>IF(A50="","",B50+'AA Exact Masses'!Q$2)</f>
        <v/>
      </c>
      <c r="D50" t="str">
        <f>IF(A50="","",B50+'AA Exact Masses'!Q$3)</f>
        <v/>
      </c>
      <c r="E50" t="str">
        <f>IF(A50="","",(B50+2*'AA Exact Masses'!Q$2)/2)</f>
        <v/>
      </c>
      <c r="F50" t="str">
        <f>IF(A50="","",(B50+2*'AA Exact Masses'!Q$3)/2)</f>
        <v/>
      </c>
      <c r="G50" t="str">
        <f>IF(A50="","",(B50+'AA Exact Masses'!Q$2+'AA Exact Masses'!Q$3)/2)</f>
        <v/>
      </c>
      <c r="H50" t="str">
        <f>IF($A50="","",($B50+3*'AA Exact Masses'!$Q$2)/3)</f>
        <v/>
      </c>
      <c r="I50" t="str">
        <f>IF($A50="","",($B50+2*'AA Exact Masses'!$Q$2+'AA Exact Masses'!$Q$3)/3)</f>
        <v/>
      </c>
      <c r="J50" t="str">
        <f>IF($A50="","",($B50+'AA Exact Masses'!$Q$2+2*'AA Exact Masses'!$Q$3)/3)</f>
        <v/>
      </c>
      <c r="K50" t="str">
        <f>IF($A50="","",($B50+3*'AA Exact Masses'!$Q$3)/3)</f>
        <v/>
      </c>
      <c r="L50" s="1"/>
      <c r="M50" s="8" t="str">
        <f t="shared" si="0"/>
        <v/>
      </c>
      <c r="N50" s="3" t="str">
        <f>IF(A50="","",'1st Deletion Fragment'!C50-'Mass Ion Calculations'!$D$5)</f>
        <v/>
      </c>
      <c r="O50" s="3" t="str">
        <f>IF(A50="","",('1st Deletion Fragment'!D50-'Mass Ion Calculations'!$D$5))</f>
        <v/>
      </c>
      <c r="P50" s="3" t="str">
        <f>IF(A50="","",('1st Deletion Fragment'!E50-'Mass Ion Calculations'!$D$5))</f>
        <v/>
      </c>
      <c r="Q50" s="3" t="str">
        <f>IF(A50="","",('1st Deletion Fragment'!F50-'Mass Ion Calculations'!$D$5))</f>
        <v/>
      </c>
      <c r="R50" s="3" t="str">
        <f>IF(A50="","",('1st Deletion Fragment'!G50-'Mass Ion Calculations'!$D$5))</f>
        <v/>
      </c>
      <c r="S50" s="3" t="str">
        <f>IF($A50="","",('1st Deletion Fragment'!H50-'Mass Ion Calculations'!$D$5))</f>
        <v/>
      </c>
      <c r="T50" s="3" t="str">
        <f>IF($A50="","",('1st Deletion Fragment'!I50-'Mass Ion Calculations'!$D$5))</f>
        <v/>
      </c>
      <c r="U50" s="3" t="str">
        <f>IF($A50="","",('1st Deletion Fragment'!J50-'Mass Ion Calculations'!$D$5))</f>
        <v/>
      </c>
      <c r="V50" s="3" t="str">
        <f>IF($A50="","",('1st Deletion Fragment'!K50-'Mass Ion Calculations'!$D$5))</f>
        <v/>
      </c>
      <c r="W50" s="2"/>
    </row>
    <row r="51" spans="1:23" x14ac:dyDescent="0.25">
      <c r="A51" s="4" t="str">
        <f>IF('Mass Ion Calculations'!B51="","",'Mass Ion Calculations'!B51)</f>
        <v/>
      </c>
      <c r="B51" t="str">
        <f>IF(A51="","",IF('Mass Ion Calculations'!$D$6="Yes",IF('Mass Ion Calculations'!$D$7="Yes",'Mass Ion Calculations'!$D$18+'Mass Ion Calculations'!C51,'Mass Ion Calculations'!$F$18+'Mass Ion Calculations'!E51),IF('Mass Ion Calculations'!$D$7="Yes", 'Mass Ion Calculations'!$D$15+'Mass Ion Calculations'!C51,'Mass Ion Calculations'!$F$15+'Mass Ion Calculations'!E51)))</f>
        <v/>
      </c>
      <c r="C51" t="str">
        <f>IF(A51="","",B51+'AA Exact Masses'!Q$2)</f>
        <v/>
      </c>
      <c r="D51" t="str">
        <f>IF(A51="","",B51+'AA Exact Masses'!Q$3)</f>
        <v/>
      </c>
      <c r="E51" t="str">
        <f>IF(A51="","",(B51+2*'AA Exact Masses'!Q$2)/2)</f>
        <v/>
      </c>
      <c r="F51" t="str">
        <f>IF(A51="","",(B51+2*'AA Exact Masses'!Q$3)/2)</f>
        <v/>
      </c>
      <c r="G51" t="str">
        <f>IF(A51="","",(B51+'AA Exact Masses'!Q$2+'AA Exact Masses'!Q$3)/2)</f>
        <v/>
      </c>
      <c r="H51" t="str">
        <f>IF($A51="","",($B51+3*'AA Exact Masses'!$Q$2)/3)</f>
        <v/>
      </c>
      <c r="I51" t="str">
        <f>IF($A51="","",($B51+2*'AA Exact Masses'!$Q$2+'AA Exact Masses'!$Q$3)/3)</f>
        <v/>
      </c>
      <c r="J51" t="str">
        <f>IF($A51="","",($B51+'AA Exact Masses'!$Q$2+2*'AA Exact Masses'!$Q$3)/3)</f>
        <v/>
      </c>
      <c r="K51" t="str">
        <f>IF($A51="","",($B51+3*'AA Exact Masses'!$Q$3)/3)</f>
        <v/>
      </c>
      <c r="L51" s="1"/>
      <c r="M51" s="8" t="str">
        <f t="shared" si="0"/>
        <v/>
      </c>
      <c r="N51" s="3" t="str">
        <f>IF(A51="","",'1st Deletion Fragment'!C51-'Mass Ion Calculations'!$D$5)</f>
        <v/>
      </c>
      <c r="O51" s="3" t="str">
        <f>IF(A51="","",('1st Deletion Fragment'!D51-'Mass Ion Calculations'!$D$5))</f>
        <v/>
      </c>
      <c r="P51" s="3" t="str">
        <f>IF(A51="","",('1st Deletion Fragment'!E51-'Mass Ion Calculations'!$D$5))</f>
        <v/>
      </c>
      <c r="Q51" s="3" t="str">
        <f>IF(A51="","",('1st Deletion Fragment'!F51-'Mass Ion Calculations'!$D$5))</f>
        <v/>
      </c>
      <c r="R51" s="3" t="str">
        <f>IF(A51="","",('1st Deletion Fragment'!G51-'Mass Ion Calculations'!$D$5))</f>
        <v/>
      </c>
      <c r="S51" s="3" t="str">
        <f>IF($A51="","",('1st Deletion Fragment'!H51-'Mass Ion Calculations'!$D$5))</f>
        <v/>
      </c>
      <c r="T51" s="3" t="str">
        <f>IF($A51="","",('1st Deletion Fragment'!I51-'Mass Ion Calculations'!$D$5))</f>
        <v/>
      </c>
      <c r="U51" s="3" t="str">
        <f>IF($A51="","",('1st Deletion Fragment'!J51-'Mass Ion Calculations'!$D$5))</f>
        <v/>
      </c>
      <c r="V51" s="3" t="str">
        <f>IF($A51="","",('1st Deletion Fragment'!K51-'Mass Ion Calculations'!$D$5))</f>
        <v/>
      </c>
      <c r="W51" s="2"/>
    </row>
    <row r="52" spans="1:23" x14ac:dyDescent="0.25">
      <c r="A52" s="4" t="str">
        <f>IF('Mass Ion Calculations'!B52="","",'Mass Ion Calculations'!B52)</f>
        <v/>
      </c>
      <c r="B52" t="str">
        <f>IF(A52="","",IF('Mass Ion Calculations'!$D$6="Yes",IF('Mass Ion Calculations'!$D$7="Yes",'Mass Ion Calculations'!$D$18+'Mass Ion Calculations'!C52,'Mass Ion Calculations'!$F$18+'Mass Ion Calculations'!E52),IF('Mass Ion Calculations'!$D$7="Yes", 'Mass Ion Calculations'!$D$15+'Mass Ion Calculations'!C52,'Mass Ion Calculations'!$F$15+'Mass Ion Calculations'!E52)))</f>
        <v/>
      </c>
      <c r="C52" t="str">
        <f>IF(A52="","",B52+'AA Exact Masses'!Q$2)</f>
        <v/>
      </c>
      <c r="D52" t="str">
        <f>IF(A52="","",B52+'AA Exact Masses'!Q$3)</f>
        <v/>
      </c>
      <c r="E52" t="str">
        <f>IF(A52="","",(B52+2*'AA Exact Masses'!Q$2)/2)</f>
        <v/>
      </c>
      <c r="F52" t="str">
        <f>IF(A52="","",(B52+2*'AA Exact Masses'!Q$3)/2)</f>
        <v/>
      </c>
      <c r="G52" t="str">
        <f>IF(A52="","",(B52+'AA Exact Masses'!Q$2+'AA Exact Masses'!Q$3)/2)</f>
        <v/>
      </c>
      <c r="H52" t="str">
        <f>IF($A52="","",($B52+3*'AA Exact Masses'!$Q$2)/3)</f>
        <v/>
      </c>
      <c r="I52" t="str">
        <f>IF($A52="","",($B52+2*'AA Exact Masses'!$Q$2+'AA Exact Masses'!$Q$3)/3)</f>
        <v/>
      </c>
      <c r="J52" t="str">
        <f>IF($A52="","",($B52+'AA Exact Masses'!$Q$2+2*'AA Exact Masses'!$Q$3)/3)</f>
        <v/>
      </c>
      <c r="K52" t="str">
        <f>IF($A52="","",($B52+3*'AA Exact Masses'!$Q$3)/3)</f>
        <v/>
      </c>
      <c r="L52" s="1"/>
      <c r="M52" s="8" t="str">
        <f t="shared" si="0"/>
        <v/>
      </c>
      <c r="N52" s="3" t="str">
        <f>IF(A52="","",'1st Deletion Fragment'!C52-'Mass Ion Calculations'!$D$5)</f>
        <v/>
      </c>
      <c r="O52" s="3" t="str">
        <f>IF(A52="","",('1st Deletion Fragment'!D52-'Mass Ion Calculations'!$D$5))</f>
        <v/>
      </c>
      <c r="P52" s="3" t="str">
        <f>IF(A52="","",('1st Deletion Fragment'!E52-'Mass Ion Calculations'!$D$5))</f>
        <v/>
      </c>
      <c r="Q52" s="3" t="str">
        <f>IF(A52="","",('1st Deletion Fragment'!F52-'Mass Ion Calculations'!$D$5))</f>
        <v/>
      </c>
      <c r="R52" s="3" t="str">
        <f>IF(A52="","",('1st Deletion Fragment'!G52-'Mass Ion Calculations'!$D$5))</f>
        <v/>
      </c>
      <c r="S52" s="3" t="str">
        <f>IF($A52="","",('1st Deletion Fragment'!H52-'Mass Ion Calculations'!$D$5))</f>
        <v/>
      </c>
      <c r="T52" s="3" t="str">
        <f>IF($A52="","",('1st Deletion Fragment'!I52-'Mass Ion Calculations'!$D$5))</f>
        <v/>
      </c>
      <c r="U52" s="3" t="str">
        <f>IF($A52="","",('1st Deletion Fragment'!J52-'Mass Ion Calculations'!$D$5))</f>
        <v/>
      </c>
      <c r="V52" s="3" t="str">
        <f>IF($A52="","",('1st Deletion Fragment'!K52-'Mass Ion Calculations'!$D$5))</f>
        <v/>
      </c>
      <c r="W52" s="2"/>
    </row>
    <row r="53" spans="1:23" x14ac:dyDescent="0.25">
      <c r="A53" s="4" t="str">
        <f>IF('Mass Ion Calculations'!B53="","",'Mass Ion Calculations'!B53)</f>
        <v/>
      </c>
      <c r="B53" t="str">
        <f>IF(A53="","",IF('Mass Ion Calculations'!$D$6="Yes",IF('Mass Ion Calculations'!$D$7="Yes",'Mass Ion Calculations'!$D$18+'Mass Ion Calculations'!C53,'Mass Ion Calculations'!$F$18+'Mass Ion Calculations'!E53),IF('Mass Ion Calculations'!$D$7="Yes", 'Mass Ion Calculations'!$D$15+'Mass Ion Calculations'!C53,'Mass Ion Calculations'!$F$15+'Mass Ion Calculations'!E53)))</f>
        <v/>
      </c>
      <c r="C53" t="str">
        <f>IF(A53="","",B53+'AA Exact Masses'!Q$2)</f>
        <v/>
      </c>
      <c r="D53" t="str">
        <f>IF(A53="","",B53+'AA Exact Masses'!Q$3)</f>
        <v/>
      </c>
      <c r="E53" t="str">
        <f>IF(A53="","",(B53+2*'AA Exact Masses'!Q$2)/2)</f>
        <v/>
      </c>
      <c r="F53" t="str">
        <f>IF(A53="","",(B53+2*'AA Exact Masses'!Q$3)/2)</f>
        <v/>
      </c>
      <c r="G53" t="str">
        <f>IF(A53="","",(B53+'AA Exact Masses'!Q$2+'AA Exact Masses'!Q$3)/2)</f>
        <v/>
      </c>
      <c r="H53" t="str">
        <f>IF($A53="","",($B53+3*'AA Exact Masses'!$Q$2)/3)</f>
        <v/>
      </c>
      <c r="I53" t="str">
        <f>IF($A53="","",($B53+2*'AA Exact Masses'!$Q$2+'AA Exact Masses'!$Q$3)/3)</f>
        <v/>
      </c>
      <c r="J53" t="str">
        <f>IF($A53="","",($B53+'AA Exact Masses'!$Q$2+2*'AA Exact Masses'!$Q$3)/3)</f>
        <v/>
      </c>
      <c r="K53" t="str">
        <f>IF($A53="","",($B53+3*'AA Exact Masses'!$Q$3)/3)</f>
        <v/>
      </c>
      <c r="L53" s="1"/>
      <c r="M53" s="8" t="str">
        <f t="shared" si="0"/>
        <v/>
      </c>
      <c r="N53" s="3" t="str">
        <f>IF(A53="","",'1st Deletion Fragment'!C53-'Mass Ion Calculations'!$D$5)</f>
        <v/>
      </c>
      <c r="O53" s="3" t="str">
        <f>IF(A53="","",('1st Deletion Fragment'!D53-'Mass Ion Calculations'!$D$5))</f>
        <v/>
      </c>
      <c r="P53" s="3" t="str">
        <f>IF(A53="","",('1st Deletion Fragment'!E53-'Mass Ion Calculations'!$D$5))</f>
        <v/>
      </c>
      <c r="Q53" s="3" t="str">
        <f>IF(A53="","",('1st Deletion Fragment'!F53-'Mass Ion Calculations'!$D$5))</f>
        <v/>
      </c>
      <c r="R53" s="3" t="str">
        <f>IF(A53="","",('1st Deletion Fragment'!G53-'Mass Ion Calculations'!$D$5))</f>
        <v/>
      </c>
      <c r="S53" s="3" t="str">
        <f>IF($A53="","",('1st Deletion Fragment'!H53-'Mass Ion Calculations'!$D$5))</f>
        <v/>
      </c>
      <c r="T53" s="3" t="str">
        <f>IF($A53="","",('1st Deletion Fragment'!I53-'Mass Ion Calculations'!$D$5))</f>
        <v/>
      </c>
      <c r="U53" s="3" t="str">
        <f>IF($A53="","",('1st Deletion Fragment'!J53-'Mass Ion Calculations'!$D$5))</f>
        <v/>
      </c>
      <c r="V53" s="3" t="str">
        <f>IF($A53="","",('1st Deletion Fragment'!K53-'Mass Ion Calculations'!$D$5))</f>
        <v/>
      </c>
      <c r="W53" s="2"/>
    </row>
  </sheetData>
  <conditionalFormatting sqref="N5:V53">
    <cfRule type="cellIs" dxfId="1" priority="2" operator="between">
      <formula>2</formula>
      <formula>-2</formula>
    </cfRule>
  </conditionalFormatting>
  <conditionalFormatting sqref="N5:V53">
    <cfRule type="cellIs" dxfId="0" priority="1" operator="between">
      <formula>2</formula>
      <formula>-2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activeCell="D27" sqref="D27"/>
    </sheetView>
  </sheetViews>
  <sheetFormatPr defaultRowHeight="15" x14ac:dyDescent="0.25"/>
  <cols>
    <col min="1" max="1" width="21.140625" customWidth="1"/>
    <col min="2" max="2" width="19.85546875" customWidth="1"/>
    <col min="3" max="3" width="26.5703125" customWidth="1"/>
    <col min="4" max="4" width="15.42578125" customWidth="1"/>
    <col min="5" max="8" width="14" customWidth="1"/>
    <col min="9" max="9" width="16.140625" customWidth="1"/>
    <col min="15" max="15" width="15.28515625" customWidth="1"/>
    <col min="16" max="16" width="13.5703125" customWidth="1"/>
    <col min="17" max="17" width="14.7109375" customWidth="1"/>
    <col min="19" max="20" width="9.140625" customWidth="1"/>
  </cols>
  <sheetData>
    <row r="1" spans="1:19" x14ac:dyDescent="0.25">
      <c r="B1" t="s">
        <v>173</v>
      </c>
      <c r="C1" t="s">
        <v>175</v>
      </c>
      <c r="D1" t="s">
        <v>177</v>
      </c>
      <c r="J1" t="s">
        <v>174</v>
      </c>
      <c r="K1">
        <v>18.015280000000001</v>
      </c>
    </row>
    <row r="2" spans="1:19" x14ac:dyDescent="0.25">
      <c r="D2" t="s">
        <v>270</v>
      </c>
      <c r="E2" t="s">
        <v>292</v>
      </c>
      <c r="F2" t="s">
        <v>510</v>
      </c>
      <c r="G2" t="s">
        <v>511</v>
      </c>
      <c r="H2" t="s">
        <v>512</v>
      </c>
      <c r="I2" t="s">
        <v>513</v>
      </c>
      <c r="O2" t="s">
        <v>269</v>
      </c>
      <c r="P2" t="s">
        <v>270</v>
      </c>
      <c r="Q2" t="s">
        <v>271</v>
      </c>
    </row>
    <row r="3" spans="1:19" x14ac:dyDescent="0.25">
      <c r="A3" t="s">
        <v>129</v>
      </c>
      <c r="B3">
        <f>C3-K$1</f>
        <v>71.078220000000002</v>
      </c>
      <c r="C3">
        <v>89.093500000000006</v>
      </c>
      <c r="D3">
        <v>0.5</v>
      </c>
      <c r="E3">
        <v>-1.3355999999999999</v>
      </c>
      <c r="F3" s="77">
        <v>1.48</v>
      </c>
      <c r="G3" s="77">
        <v>1.3</v>
      </c>
      <c r="H3" s="77">
        <v>0.82</v>
      </c>
      <c r="I3" s="77">
        <v>0.83</v>
      </c>
      <c r="N3" t="s">
        <v>178</v>
      </c>
      <c r="O3" t="s">
        <v>179</v>
      </c>
      <c r="P3" t="s">
        <v>180</v>
      </c>
      <c r="Q3" t="s">
        <v>181</v>
      </c>
      <c r="S3" t="s">
        <v>272</v>
      </c>
    </row>
    <row r="4" spans="1:19" x14ac:dyDescent="0.25">
      <c r="A4" t="s">
        <v>132</v>
      </c>
      <c r="B4">
        <f t="shared" ref="B4:B47" si="0">C4-K$1</f>
        <v>156.18642</v>
      </c>
      <c r="C4">
        <v>174.20169999999999</v>
      </c>
      <c r="D4">
        <v>1.81</v>
      </c>
      <c r="E4">
        <v>-3.0116000000000001</v>
      </c>
      <c r="F4" s="78" t="s">
        <v>516</v>
      </c>
      <c r="G4" s="78" t="s">
        <v>517</v>
      </c>
      <c r="H4" s="78" t="s">
        <v>518</v>
      </c>
      <c r="I4" s="78" t="s">
        <v>519</v>
      </c>
      <c r="N4" t="s">
        <v>182</v>
      </c>
      <c r="O4" t="s">
        <v>183</v>
      </c>
      <c r="P4" t="s">
        <v>184</v>
      </c>
      <c r="Q4" t="s">
        <v>185</v>
      </c>
      <c r="S4" t="s">
        <v>273</v>
      </c>
    </row>
    <row r="5" spans="1:19" x14ac:dyDescent="0.25">
      <c r="A5" t="s">
        <v>133</v>
      </c>
      <c r="B5">
        <f t="shared" si="0"/>
        <v>114.10312</v>
      </c>
      <c r="C5">
        <v>132.11840000000001</v>
      </c>
      <c r="D5">
        <v>0.85</v>
      </c>
      <c r="E5">
        <v>-2.2692999999999999</v>
      </c>
      <c r="F5" s="78" t="s">
        <v>522</v>
      </c>
      <c r="G5" s="78" t="s">
        <v>523</v>
      </c>
      <c r="H5" s="78" t="s">
        <v>524</v>
      </c>
      <c r="I5" s="78" t="s">
        <v>525</v>
      </c>
      <c r="N5" t="s">
        <v>186</v>
      </c>
      <c r="O5" t="s">
        <v>187</v>
      </c>
      <c r="P5" t="s">
        <v>188</v>
      </c>
      <c r="Q5" t="s">
        <v>189</v>
      </c>
      <c r="S5" t="s">
        <v>274</v>
      </c>
    </row>
    <row r="6" spans="1:19" x14ac:dyDescent="0.25">
      <c r="A6" t="s">
        <v>134</v>
      </c>
      <c r="B6">
        <f t="shared" si="0"/>
        <v>115.08791999999998</v>
      </c>
      <c r="C6">
        <v>133.10319999999999</v>
      </c>
      <c r="D6">
        <v>3.64</v>
      </c>
      <c r="E6">
        <v>-4.7298</v>
      </c>
      <c r="F6" s="78" t="s">
        <v>522</v>
      </c>
      <c r="G6" s="78" t="s">
        <v>526</v>
      </c>
      <c r="H6" s="78" t="s">
        <v>527</v>
      </c>
      <c r="I6" s="78" t="s">
        <v>528</v>
      </c>
      <c r="N6" t="s">
        <v>190</v>
      </c>
      <c r="O6" t="s">
        <v>191</v>
      </c>
      <c r="P6" t="s">
        <v>192</v>
      </c>
      <c r="Q6" t="s">
        <v>193</v>
      </c>
      <c r="S6" t="s">
        <v>275</v>
      </c>
    </row>
    <row r="7" spans="1:19" x14ac:dyDescent="0.25">
      <c r="A7" t="s">
        <v>135</v>
      </c>
      <c r="B7">
        <f t="shared" si="0"/>
        <v>103.14372</v>
      </c>
      <c r="C7">
        <v>121.15900000000001</v>
      </c>
      <c r="D7">
        <v>-0.02</v>
      </c>
      <c r="E7">
        <v>-1.2644</v>
      </c>
      <c r="F7" s="79">
        <v>2.09</v>
      </c>
      <c r="G7" s="79">
        <v>0.28000000000000003</v>
      </c>
      <c r="H7" s="79">
        <v>0.62</v>
      </c>
      <c r="I7" s="78" t="s">
        <v>530</v>
      </c>
      <c r="N7" t="s">
        <v>194</v>
      </c>
      <c r="O7" t="s">
        <v>195</v>
      </c>
      <c r="P7" t="s">
        <v>196</v>
      </c>
      <c r="Q7" t="s">
        <v>197</v>
      </c>
      <c r="S7" t="s">
        <v>276</v>
      </c>
    </row>
    <row r="8" spans="1:19" x14ac:dyDescent="0.25">
      <c r="A8" t="s">
        <v>305</v>
      </c>
      <c r="B8">
        <f t="shared" si="0"/>
        <v>139.19472000000002</v>
      </c>
      <c r="C8">
        <v>157.21</v>
      </c>
      <c r="D8">
        <f>(E8+1.335)/(-0.736)</f>
        <v>-3.464673913043478</v>
      </c>
      <c r="E8">
        <v>1.2150000000000001</v>
      </c>
    </row>
    <row r="9" spans="1:19" x14ac:dyDescent="0.25">
      <c r="A9" t="s">
        <v>130</v>
      </c>
      <c r="B9">
        <f t="shared" si="0"/>
        <v>129.11462</v>
      </c>
      <c r="C9">
        <v>147.12989999999999</v>
      </c>
      <c r="D9">
        <v>3.63</v>
      </c>
      <c r="E9">
        <v>-6.2236000000000002</v>
      </c>
      <c r="F9" s="78" t="s">
        <v>522</v>
      </c>
      <c r="G9" s="78" t="s">
        <v>534</v>
      </c>
      <c r="H9" s="78" t="s">
        <v>535</v>
      </c>
      <c r="I9" s="78" t="s">
        <v>536</v>
      </c>
      <c r="N9" t="s">
        <v>198</v>
      </c>
      <c r="O9" t="s">
        <v>199</v>
      </c>
      <c r="P9" t="s">
        <v>200</v>
      </c>
      <c r="Q9" t="s">
        <v>201</v>
      </c>
      <c r="S9" t="s">
        <v>277</v>
      </c>
    </row>
    <row r="10" spans="1:19" x14ac:dyDescent="0.25">
      <c r="A10" t="s">
        <v>136</v>
      </c>
      <c r="B10">
        <f t="shared" si="0"/>
        <v>128.12982000000002</v>
      </c>
      <c r="C10">
        <v>146.14510000000001</v>
      </c>
      <c r="D10">
        <v>0.77</v>
      </c>
      <c r="E10">
        <v>-2.8986000000000001</v>
      </c>
      <c r="F10" s="78" t="s">
        <v>522</v>
      </c>
      <c r="G10" s="78" t="s">
        <v>531</v>
      </c>
      <c r="H10" s="78" t="s">
        <v>532</v>
      </c>
      <c r="I10" s="78" t="s">
        <v>533</v>
      </c>
      <c r="N10" t="s">
        <v>202</v>
      </c>
      <c r="O10" t="s">
        <v>203</v>
      </c>
      <c r="P10" t="s">
        <v>204</v>
      </c>
      <c r="Q10" t="s">
        <v>205</v>
      </c>
      <c r="S10" t="s">
        <v>278</v>
      </c>
    </row>
    <row r="11" spans="1:19" x14ac:dyDescent="0.25">
      <c r="A11" t="s">
        <v>137</v>
      </c>
      <c r="B11">
        <f t="shared" si="0"/>
        <v>57.05162</v>
      </c>
      <c r="C11">
        <v>75.066900000000004</v>
      </c>
      <c r="D11">
        <v>1.1499999999999999</v>
      </c>
      <c r="E11">
        <v>-1.6446000000000001</v>
      </c>
      <c r="F11" s="78" t="s">
        <v>538</v>
      </c>
      <c r="G11" s="79">
        <v>0.87</v>
      </c>
      <c r="H11" s="79">
        <v>0.27</v>
      </c>
      <c r="I11" s="79">
        <v>0.28000000000000003</v>
      </c>
      <c r="N11" t="s">
        <v>206</v>
      </c>
      <c r="O11" t="s">
        <v>207</v>
      </c>
      <c r="P11" t="s">
        <v>208</v>
      </c>
      <c r="Q11" t="s">
        <v>209</v>
      </c>
      <c r="S11" t="s">
        <v>279</v>
      </c>
    </row>
    <row r="12" spans="1:19" x14ac:dyDescent="0.25">
      <c r="A12" t="s">
        <v>138</v>
      </c>
      <c r="B12">
        <f t="shared" si="0"/>
        <v>137.13992000000002</v>
      </c>
      <c r="C12">
        <v>155.15520000000001</v>
      </c>
      <c r="D12">
        <v>2.33</v>
      </c>
      <c r="E12">
        <v>-2.3186</v>
      </c>
      <c r="F12" s="78" t="s">
        <v>530</v>
      </c>
      <c r="G12" s="78" t="s">
        <v>541</v>
      </c>
      <c r="H12" s="78" t="s">
        <v>540</v>
      </c>
      <c r="I12" s="78" t="s">
        <v>542</v>
      </c>
      <c r="N12" t="s">
        <v>210</v>
      </c>
      <c r="O12" t="s">
        <v>211</v>
      </c>
      <c r="P12" t="s">
        <v>212</v>
      </c>
      <c r="Q12" t="s">
        <v>213</v>
      </c>
      <c r="S12" t="s">
        <v>280</v>
      </c>
    </row>
    <row r="13" spans="1:19" x14ac:dyDescent="0.25">
      <c r="A13" t="s">
        <v>139</v>
      </c>
      <c r="B13">
        <f t="shared" si="0"/>
        <v>113.15831999999999</v>
      </c>
      <c r="C13">
        <v>131.17359999999999</v>
      </c>
      <c r="D13">
        <v>-1.1200000000000001</v>
      </c>
      <c r="E13">
        <v>0.12139999999999999</v>
      </c>
      <c r="F13" s="79">
        <v>3.83</v>
      </c>
      <c r="G13" s="79">
        <v>3.66</v>
      </c>
      <c r="H13" s="79">
        <v>2.85</v>
      </c>
      <c r="I13" s="79">
        <v>2.83</v>
      </c>
      <c r="N13" t="s">
        <v>214</v>
      </c>
      <c r="O13" t="s">
        <v>215</v>
      </c>
      <c r="P13" t="s">
        <v>216</v>
      </c>
      <c r="Q13" t="s">
        <v>217</v>
      </c>
      <c r="S13" t="s">
        <v>281</v>
      </c>
    </row>
    <row r="14" spans="1:19" x14ac:dyDescent="0.25">
      <c r="A14" t="s">
        <v>126</v>
      </c>
      <c r="B14">
        <f t="shared" si="0"/>
        <v>113.15831999999999</v>
      </c>
      <c r="C14">
        <v>131.17359999999999</v>
      </c>
      <c r="D14">
        <v>-1.25</v>
      </c>
      <c r="E14">
        <v>0.12139999999999999</v>
      </c>
      <c r="F14" s="79">
        <v>3.22</v>
      </c>
      <c r="G14" s="79">
        <v>2.67</v>
      </c>
      <c r="H14" s="79">
        <v>2.85</v>
      </c>
      <c r="I14" s="79">
        <v>2.83</v>
      </c>
      <c r="N14" t="s">
        <v>218</v>
      </c>
      <c r="O14" t="s">
        <v>219</v>
      </c>
      <c r="P14" t="s">
        <v>220</v>
      </c>
      <c r="Q14" t="s">
        <v>221</v>
      </c>
      <c r="S14" t="s">
        <v>282</v>
      </c>
    </row>
    <row r="15" spans="1:19" x14ac:dyDescent="0.25">
      <c r="A15" t="s">
        <v>307</v>
      </c>
      <c r="B15">
        <f t="shared" si="0"/>
        <v>113.15831999999999</v>
      </c>
      <c r="C15">
        <v>131.17359999999999</v>
      </c>
      <c r="D15">
        <v>-1.25</v>
      </c>
      <c r="E15">
        <v>0.25140000000000001</v>
      </c>
      <c r="F15" s="79">
        <v>3.22</v>
      </c>
      <c r="G15" s="79">
        <v>2.67</v>
      </c>
      <c r="H15" s="79">
        <v>2.85</v>
      </c>
      <c r="I15" s="79">
        <v>2.83</v>
      </c>
    </row>
    <row r="16" spans="1:19" x14ac:dyDescent="0.25">
      <c r="A16" t="s">
        <v>125</v>
      </c>
      <c r="B16">
        <f t="shared" si="0"/>
        <v>128.17292</v>
      </c>
      <c r="C16">
        <v>146.18819999999999</v>
      </c>
      <c r="D16">
        <v>2.8</v>
      </c>
      <c r="E16">
        <v>-1.5955999999999999</v>
      </c>
      <c r="F16" s="78" t="s">
        <v>545</v>
      </c>
      <c r="G16" s="78" t="s">
        <v>546</v>
      </c>
      <c r="H16" s="78" t="s">
        <v>547</v>
      </c>
      <c r="I16" s="78" t="s">
        <v>548</v>
      </c>
      <c r="N16" t="s">
        <v>222</v>
      </c>
      <c r="O16" t="s">
        <v>179</v>
      </c>
      <c r="P16" t="s">
        <v>223</v>
      </c>
      <c r="Q16" t="s">
        <v>224</v>
      </c>
      <c r="S16" t="s">
        <v>283</v>
      </c>
    </row>
    <row r="17" spans="1:19" x14ac:dyDescent="0.25">
      <c r="A17" t="s">
        <v>140</v>
      </c>
      <c r="B17">
        <f t="shared" si="0"/>
        <v>128.17292</v>
      </c>
      <c r="C17">
        <v>146.18819999999999</v>
      </c>
      <c r="D17">
        <v>2.8</v>
      </c>
      <c r="E17">
        <v>-1.5955999999999999</v>
      </c>
      <c r="N17" t="s">
        <v>225</v>
      </c>
      <c r="O17" t="s">
        <v>226</v>
      </c>
      <c r="P17" t="s">
        <v>227</v>
      </c>
      <c r="Q17" t="s">
        <v>228</v>
      </c>
      <c r="S17" t="s">
        <v>284</v>
      </c>
    </row>
    <row r="18" spans="1:19" x14ac:dyDescent="0.25">
      <c r="A18" t="s">
        <v>141</v>
      </c>
      <c r="B18">
        <f t="shared" si="0"/>
        <v>131.19712000000001</v>
      </c>
      <c r="C18">
        <v>149.2124</v>
      </c>
      <c r="D18">
        <v>-0.67</v>
      </c>
      <c r="E18">
        <v>-1.1876</v>
      </c>
      <c r="F18" s="79">
        <v>1.57</v>
      </c>
      <c r="G18" s="79">
        <v>1.36</v>
      </c>
      <c r="H18" s="79">
        <v>1.63</v>
      </c>
      <c r="I18" s="79">
        <v>1.62</v>
      </c>
      <c r="J18" s="86"/>
      <c r="N18" t="s">
        <v>229</v>
      </c>
      <c r="O18" t="s">
        <v>230</v>
      </c>
      <c r="P18" t="s">
        <v>231</v>
      </c>
      <c r="Q18" t="s">
        <v>232</v>
      </c>
      <c r="S18" t="s">
        <v>285</v>
      </c>
    </row>
    <row r="19" spans="1:19" x14ac:dyDescent="0.25">
      <c r="A19" t="s">
        <v>128</v>
      </c>
      <c r="B19">
        <f t="shared" si="0"/>
        <v>147.17472000000001</v>
      </c>
      <c r="C19">
        <v>165.19</v>
      </c>
      <c r="D19">
        <v>-1.71</v>
      </c>
      <c r="E19">
        <v>8.2400000000000001E-2</v>
      </c>
      <c r="F19" s="79">
        <v>2.35</v>
      </c>
      <c r="G19" s="79">
        <v>3.07</v>
      </c>
      <c r="H19" s="79">
        <v>3.5</v>
      </c>
      <c r="I19" s="79">
        <v>3.46</v>
      </c>
      <c r="N19" t="s">
        <v>233</v>
      </c>
      <c r="O19" t="s">
        <v>234</v>
      </c>
      <c r="P19" t="s">
        <v>235</v>
      </c>
      <c r="Q19" t="s">
        <v>236</v>
      </c>
      <c r="S19" t="s">
        <v>286</v>
      </c>
    </row>
    <row r="20" spans="1:19" x14ac:dyDescent="0.25">
      <c r="A20" t="s">
        <v>296</v>
      </c>
      <c r="B20">
        <f t="shared" si="0"/>
        <v>224.97421</v>
      </c>
      <c r="C20">
        <v>242.98948999999999</v>
      </c>
      <c r="D20">
        <f>(E20+1.335)/(-0.736)</f>
        <v>-3.0983695652173915</v>
      </c>
      <c r="E20">
        <v>0.94540000000000002</v>
      </c>
    </row>
    <row r="21" spans="1:19" x14ac:dyDescent="0.25">
      <c r="A21" t="s">
        <v>308</v>
      </c>
      <c r="B21">
        <f t="shared" si="0"/>
        <v>273.06471999999997</v>
      </c>
      <c r="C21">
        <v>291.08</v>
      </c>
      <c r="D21">
        <f>(E21+1.335)/(-0.736)</f>
        <v>-3.4516304347826088</v>
      </c>
      <c r="E21">
        <v>1.2054</v>
      </c>
    </row>
    <row r="22" spans="1:19" x14ac:dyDescent="0.25">
      <c r="A22" t="s">
        <v>329</v>
      </c>
      <c r="B22">
        <f t="shared" si="0"/>
        <v>237.12618000000001</v>
      </c>
      <c r="C22">
        <v>255.14146</v>
      </c>
    </row>
    <row r="23" spans="1:19" x14ac:dyDescent="0.25">
      <c r="A23" t="s">
        <v>142</v>
      </c>
      <c r="B23">
        <f t="shared" si="0"/>
        <v>97.115719999999996</v>
      </c>
      <c r="C23">
        <v>115.131</v>
      </c>
      <c r="D23">
        <v>0.14000000000000001</v>
      </c>
      <c r="E23">
        <v>-0.95979999999999999</v>
      </c>
      <c r="F23" s="78" t="s">
        <v>552</v>
      </c>
      <c r="G23" s="78" t="s">
        <v>553</v>
      </c>
      <c r="H23" s="79">
        <v>1.68</v>
      </c>
      <c r="I23" s="79">
        <v>1.67</v>
      </c>
      <c r="J23" s="86"/>
      <c r="N23" t="s">
        <v>237</v>
      </c>
      <c r="O23" t="s">
        <v>238</v>
      </c>
      <c r="P23" t="s">
        <v>239</v>
      </c>
      <c r="Q23" t="s">
        <v>240</v>
      </c>
      <c r="S23" t="s">
        <v>287</v>
      </c>
    </row>
    <row r="24" spans="1:19" x14ac:dyDescent="0.25">
      <c r="A24" t="s">
        <v>151</v>
      </c>
      <c r="B24">
        <f t="shared" si="0"/>
        <v>87.077719999999999</v>
      </c>
      <c r="C24">
        <v>105.093</v>
      </c>
      <c r="D24">
        <v>0.46</v>
      </c>
      <c r="E24">
        <v>-2.8986000000000001</v>
      </c>
      <c r="F24" s="78" t="s">
        <v>521</v>
      </c>
      <c r="G24" s="78" t="s">
        <v>555</v>
      </c>
      <c r="H24" s="78" t="s">
        <v>556</v>
      </c>
      <c r="I24" s="78" t="s">
        <v>557</v>
      </c>
      <c r="N24" t="s">
        <v>241</v>
      </c>
      <c r="O24" t="s">
        <v>242</v>
      </c>
      <c r="P24" t="s">
        <v>243</v>
      </c>
      <c r="Q24" t="s">
        <v>244</v>
      </c>
      <c r="S24" t="s">
        <v>288</v>
      </c>
    </row>
    <row r="25" spans="1:19" x14ac:dyDescent="0.25">
      <c r="A25" t="s">
        <v>143</v>
      </c>
      <c r="B25">
        <f t="shared" si="0"/>
        <v>87.077719999999999</v>
      </c>
      <c r="C25">
        <v>105.093</v>
      </c>
      <c r="D25">
        <v>0.46</v>
      </c>
      <c r="E25">
        <v>-2.1916000000000002</v>
      </c>
      <c r="F25" s="78" t="s">
        <v>521</v>
      </c>
      <c r="G25" s="78" t="s">
        <v>555</v>
      </c>
      <c r="H25" s="78" t="s">
        <v>556</v>
      </c>
      <c r="I25" s="78" t="s">
        <v>557</v>
      </c>
      <c r="N25" t="s">
        <v>245</v>
      </c>
      <c r="O25" t="s">
        <v>246</v>
      </c>
      <c r="P25" t="s">
        <v>247</v>
      </c>
      <c r="Q25" t="s">
        <v>248</v>
      </c>
      <c r="S25" t="s">
        <v>289</v>
      </c>
    </row>
    <row r="26" spans="1:19" x14ac:dyDescent="0.25">
      <c r="A26" t="s">
        <v>144</v>
      </c>
      <c r="B26">
        <f t="shared" si="0"/>
        <v>101.10441999999999</v>
      </c>
      <c r="C26">
        <v>119.11969999999999</v>
      </c>
      <c r="D26">
        <v>0.25</v>
      </c>
      <c r="E26">
        <v>-1.8826000000000001</v>
      </c>
      <c r="F26" s="78" t="s">
        <v>559</v>
      </c>
      <c r="G26" s="78" t="s">
        <v>521</v>
      </c>
      <c r="H26" s="78" t="s">
        <v>560</v>
      </c>
      <c r="I26" s="78" t="s">
        <v>561</v>
      </c>
      <c r="N26" t="s">
        <v>249</v>
      </c>
      <c r="O26" t="s">
        <v>250</v>
      </c>
      <c r="P26" t="s">
        <v>251</v>
      </c>
      <c r="Q26" t="s">
        <v>252</v>
      </c>
      <c r="S26" t="s">
        <v>290</v>
      </c>
    </row>
    <row r="27" spans="1:19" x14ac:dyDescent="0.25">
      <c r="A27" t="s">
        <v>145</v>
      </c>
      <c r="B27">
        <f t="shared" si="0"/>
        <v>186.21092000000002</v>
      </c>
      <c r="C27">
        <v>204.22620000000001</v>
      </c>
      <c r="D27">
        <v>-2.09</v>
      </c>
      <c r="E27">
        <v>-1.3426</v>
      </c>
      <c r="F27" s="78" t="s">
        <v>563</v>
      </c>
      <c r="G27" s="79">
        <v>1.89</v>
      </c>
      <c r="H27" s="79">
        <v>3.29</v>
      </c>
      <c r="I27" s="79">
        <v>3.26</v>
      </c>
      <c r="N27" t="s">
        <v>253</v>
      </c>
      <c r="O27" t="s">
        <v>254</v>
      </c>
      <c r="P27" t="s">
        <v>255</v>
      </c>
      <c r="Q27" t="s">
        <v>256</v>
      </c>
      <c r="S27" t="s">
        <v>291</v>
      </c>
    </row>
    <row r="28" spans="1:19" x14ac:dyDescent="0.25">
      <c r="A28" t="s">
        <v>146</v>
      </c>
      <c r="B28">
        <f t="shared" si="0"/>
        <v>163.17412000000002</v>
      </c>
      <c r="C28">
        <v>181.18940000000001</v>
      </c>
      <c r="D28">
        <v>-0.71</v>
      </c>
      <c r="E28">
        <v>-0.58460000000000001</v>
      </c>
      <c r="F28" s="78" t="s">
        <v>563</v>
      </c>
      <c r="G28" s="79">
        <v>0.19</v>
      </c>
      <c r="H28" s="79">
        <v>2.36</v>
      </c>
      <c r="I28" s="79">
        <v>2.34</v>
      </c>
      <c r="N28" t="s">
        <v>261</v>
      </c>
      <c r="O28" t="s">
        <v>262</v>
      </c>
      <c r="P28" t="s">
        <v>263</v>
      </c>
      <c r="Q28" t="s">
        <v>264</v>
      </c>
    </row>
    <row r="29" spans="1:19" x14ac:dyDescent="0.25">
      <c r="A29" t="s">
        <v>127</v>
      </c>
      <c r="B29">
        <f t="shared" si="0"/>
        <v>99.131619999999998</v>
      </c>
      <c r="C29">
        <v>117.1469</v>
      </c>
      <c r="D29">
        <v>-0.46</v>
      </c>
      <c r="E29">
        <v>-0.40760000000000002</v>
      </c>
      <c r="F29" s="80">
        <v>3.57</v>
      </c>
      <c r="G29" s="80">
        <v>2.73</v>
      </c>
      <c r="H29" s="80">
        <v>2.12</v>
      </c>
      <c r="I29" s="80">
        <v>2.1</v>
      </c>
      <c r="N29" t="s">
        <v>265</v>
      </c>
      <c r="O29" t="s">
        <v>266</v>
      </c>
      <c r="P29" t="s">
        <v>267</v>
      </c>
      <c r="Q29" t="s">
        <v>268</v>
      </c>
    </row>
    <row r="30" spans="1:19" x14ac:dyDescent="0.25">
      <c r="A30" t="s">
        <v>131</v>
      </c>
      <c r="N30" t="s">
        <v>257</v>
      </c>
      <c r="O30" t="s">
        <v>258</v>
      </c>
      <c r="P30" t="s">
        <v>259</v>
      </c>
      <c r="Q30" t="s">
        <v>260</v>
      </c>
    </row>
    <row r="31" spans="1:19" x14ac:dyDescent="0.25">
      <c r="A31" t="s">
        <v>153</v>
      </c>
    </row>
    <row r="32" spans="1:19" x14ac:dyDescent="0.25">
      <c r="A32" t="s">
        <v>154</v>
      </c>
    </row>
    <row r="33" spans="1:10" x14ac:dyDescent="0.25">
      <c r="A33" t="s">
        <v>159</v>
      </c>
    </row>
    <row r="34" spans="1:10" x14ac:dyDescent="0.25">
      <c r="A34" t="s">
        <v>100</v>
      </c>
    </row>
    <row r="35" spans="1:10" x14ac:dyDescent="0.25">
      <c r="A35" t="s">
        <v>97</v>
      </c>
    </row>
    <row r="36" spans="1:10" x14ac:dyDescent="0.25">
      <c r="A36" t="s">
        <v>147</v>
      </c>
      <c r="B36">
        <f t="shared" si="0"/>
        <v>143.14072000000002</v>
      </c>
      <c r="C36">
        <v>161.15600000000001</v>
      </c>
    </row>
    <row r="37" spans="1:10" x14ac:dyDescent="0.25">
      <c r="A37" t="s">
        <v>171</v>
      </c>
      <c r="B37">
        <v>85.052760000000006</v>
      </c>
      <c r="C37">
        <v>103.11976</v>
      </c>
      <c r="D37">
        <f>(E37+1.335)/(-0.736)</f>
        <v>-0.58288043478260865</v>
      </c>
      <c r="E37">
        <v>-0.90600000000000003</v>
      </c>
      <c r="J37">
        <f>(E3-E37)/(E37+E3)</f>
        <v>0.19164882226980723</v>
      </c>
    </row>
    <row r="38" spans="1:10" x14ac:dyDescent="0.25">
      <c r="A38" t="s">
        <v>169</v>
      </c>
      <c r="B38">
        <v>71.037109999999998</v>
      </c>
      <c r="C38">
        <v>131.17292</v>
      </c>
      <c r="D38">
        <f t="shared" ref="D38:D47" si="1">(E38+1.335)/(-0.736)</f>
        <v>-0.17663043478260856</v>
      </c>
      <c r="E38">
        <v>-1.2050000000000001</v>
      </c>
      <c r="J38">
        <f>(E11-E38)/(E38+E29)</f>
        <v>0.27260324941088926</v>
      </c>
    </row>
    <row r="39" spans="1:10" x14ac:dyDescent="0.25">
      <c r="A39" t="s">
        <v>366</v>
      </c>
      <c r="B39">
        <v>127.09971</v>
      </c>
      <c r="C39">
        <v>89.093180000000004</v>
      </c>
      <c r="D39">
        <f t="shared" ref="D39" si="2">(E39+1.335)/(-0.736)</f>
        <v>-2.5625</v>
      </c>
      <c r="E39">
        <v>0.55100000000000005</v>
      </c>
      <c r="J39">
        <f>(E13-E39)/(E39+E10)</f>
        <v>0.1829953995569944</v>
      </c>
    </row>
    <row r="40" spans="1:10" x14ac:dyDescent="0.25">
      <c r="A40" t="s">
        <v>304</v>
      </c>
      <c r="B40">
        <v>127.09971</v>
      </c>
      <c r="C40">
        <v>89.093180000000004</v>
      </c>
      <c r="D40">
        <f t="shared" si="1"/>
        <v>-2.5625</v>
      </c>
      <c r="E40">
        <v>0.55100000000000005</v>
      </c>
      <c r="J40">
        <f>(E14-E40)/(E40+E11)</f>
        <v>0.39283101682516464</v>
      </c>
    </row>
    <row r="41" spans="1:10" x14ac:dyDescent="0.25">
      <c r="A41" t="s">
        <v>368</v>
      </c>
      <c r="B41">
        <v>127.09971</v>
      </c>
      <c r="C41">
        <v>89.093180000000004</v>
      </c>
      <c r="D41">
        <f t="shared" si="1"/>
        <v>-2.5625</v>
      </c>
      <c r="E41">
        <v>0.55100000000000005</v>
      </c>
      <c r="J41">
        <f>(E15-E41)/(E41+E12)</f>
        <v>0.16949536094138948</v>
      </c>
    </row>
    <row r="42" spans="1:10" x14ac:dyDescent="0.25">
      <c r="A42" t="s">
        <v>299</v>
      </c>
      <c r="B42">
        <v>161.08405999999999</v>
      </c>
      <c r="D42">
        <f t="shared" si="1"/>
        <v>-2.5095108695652173</v>
      </c>
      <c r="E42">
        <v>0.51200000000000001</v>
      </c>
      <c r="J42">
        <f>(E19-E42)/(E42+E19)</f>
        <v>-0.72274562584118429</v>
      </c>
    </row>
    <row r="43" spans="1:10" x14ac:dyDescent="0.25">
      <c r="A43" t="s">
        <v>301</v>
      </c>
      <c r="B43">
        <v>233.14158</v>
      </c>
      <c r="D43">
        <f t="shared" si="1"/>
        <v>-1.6032608695652173</v>
      </c>
      <c r="E43">
        <v>-0.155</v>
      </c>
      <c r="J43">
        <f>(E28-E43)/(E43+E28)</f>
        <v>0.58085451595456994</v>
      </c>
    </row>
    <row r="44" spans="1:10" x14ac:dyDescent="0.25">
      <c r="A44" t="s">
        <v>163</v>
      </c>
      <c r="B44">
        <v>113.08405999999999</v>
      </c>
      <c r="D44">
        <f t="shared" si="1"/>
        <v>-1.84375</v>
      </c>
      <c r="E44">
        <v>2.1999999999999999E-2</v>
      </c>
      <c r="J44">
        <f t="shared" ref="J44" si="3">(E14-E44)/(E44+E14)</f>
        <v>0.6931659693165968</v>
      </c>
    </row>
    <row r="45" spans="1:10" x14ac:dyDescent="0.25">
      <c r="A45" t="s">
        <v>112</v>
      </c>
      <c r="B45">
        <f t="shared" si="0"/>
        <v>114.14471999999999</v>
      </c>
      <c r="C45">
        <v>132.16</v>
      </c>
      <c r="D45">
        <f t="shared" si="1"/>
        <v>1.0728260869565218</v>
      </c>
      <c r="E45">
        <v>-2.1246</v>
      </c>
    </row>
    <row r="46" spans="1:10" x14ac:dyDescent="0.25">
      <c r="A46" t="s">
        <v>148</v>
      </c>
      <c r="B46">
        <f t="shared" si="0"/>
        <v>235.19616000000002</v>
      </c>
      <c r="C46">
        <v>253.21144000000001</v>
      </c>
      <c r="D46">
        <f t="shared" si="1"/>
        <v>0.69782608695652182</v>
      </c>
      <c r="E46">
        <v>-1.8486</v>
      </c>
    </row>
    <row r="47" spans="1:10" x14ac:dyDescent="0.25">
      <c r="A47" t="s">
        <v>124</v>
      </c>
      <c r="B47">
        <f t="shared" si="0"/>
        <v>341.40422000000001</v>
      </c>
      <c r="C47">
        <v>359.41950000000003</v>
      </c>
      <c r="D47">
        <f t="shared" si="1"/>
        <v>-3.1213315217391302</v>
      </c>
      <c r="E47">
        <v>0.96230000000000004</v>
      </c>
    </row>
    <row r="50" spans="2:5" x14ac:dyDescent="0.25">
      <c r="B50" t="s">
        <v>172</v>
      </c>
      <c r="D50">
        <v>85.052760000000006</v>
      </c>
      <c r="E50">
        <v>325.13141000000002</v>
      </c>
    </row>
    <row r="51" spans="2:5" x14ac:dyDescent="0.25">
      <c r="B51" t="s">
        <v>170</v>
      </c>
      <c r="D51">
        <v>71.037109999999998</v>
      </c>
      <c r="E51">
        <v>311.11576000000002</v>
      </c>
    </row>
    <row r="52" spans="2:5" x14ac:dyDescent="0.25">
      <c r="B52" t="s">
        <v>303</v>
      </c>
      <c r="D52">
        <v>127.09971</v>
      </c>
      <c r="E52">
        <v>367.43819999999999</v>
      </c>
    </row>
    <row r="53" spans="2:5" x14ac:dyDescent="0.25">
      <c r="B53" t="s">
        <v>300</v>
      </c>
      <c r="D53">
        <v>161.08405999999999</v>
      </c>
      <c r="E53">
        <v>401.45422000000002</v>
      </c>
    </row>
    <row r="54" spans="2:5" x14ac:dyDescent="0.25">
      <c r="B54" t="s">
        <v>302</v>
      </c>
      <c r="D54">
        <v>177.07898</v>
      </c>
      <c r="E54">
        <v>473.56013999999999</v>
      </c>
    </row>
    <row r="55" spans="2:5" x14ac:dyDescent="0.25">
      <c r="B55" t="s">
        <v>164</v>
      </c>
      <c r="D55">
        <v>113.08405999999999</v>
      </c>
      <c r="E55">
        <f>B44+258.3-18.01056</f>
        <v>353.37349999999998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J3" sqref="J3"/>
    </sheetView>
  </sheetViews>
  <sheetFormatPr defaultRowHeight="15" x14ac:dyDescent="0.25"/>
  <cols>
    <col min="1" max="1" width="15.5703125" customWidth="1"/>
    <col min="2" max="2" width="26.42578125" customWidth="1"/>
    <col min="3" max="3" width="12.42578125" customWidth="1"/>
  </cols>
  <sheetData>
    <row r="1" spans="1:8" x14ac:dyDescent="0.25">
      <c r="A1" t="s">
        <v>371</v>
      </c>
      <c r="H1" t="s">
        <v>372</v>
      </c>
    </row>
    <row r="3" spans="1:8" x14ac:dyDescent="0.25">
      <c r="A3" s="4" t="s">
        <v>382</v>
      </c>
      <c r="C3" t="s">
        <v>406</v>
      </c>
      <c r="D3" t="s">
        <v>370</v>
      </c>
    </row>
    <row r="4" spans="1:8" x14ac:dyDescent="0.25">
      <c r="B4" t="s">
        <v>390</v>
      </c>
      <c r="C4" s="69">
        <v>30</v>
      </c>
      <c r="D4" s="70">
        <f>'raw material cost'!C2*'How Much is Hao'!C4</f>
        <v>1.4747999999999999</v>
      </c>
    </row>
    <row r="5" spans="1:8" x14ac:dyDescent="0.25">
      <c r="B5" t="s">
        <v>389</v>
      </c>
      <c r="C5" s="69">
        <v>10</v>
      </c>
      <c r="D5" s="70">
        <f>C5*'raw material cost'!C6</f>
        <v>3.1239999999999997</v>
      </c>
    </row>
    <row r="6" spans="1:8" x14ac:dyDescent="0.25">
      <c r="B6" t="s">
        <v>387</v>
      </c>
      <c r="C6" s="69">
        <v>200</v>
      </c>
      <c r="D6" s="70">
        <f>C6*'raw material cost'!C4</f>
        <v>2.4</v>
      </c>
    </row>
    <row r="7" spans="1:8" x14ac:dyDescent="0.25">
      <c r="B7" s="63" t="s">
        <v>388</v>
      </c>
      <c r="C7" s="51">
        <v>0</v>
      </c>
      <c r="D7" s="70">
        <v>0</v>
      </c>
    </row>
    <row r="8" spans="1:8" x14ac:dyDescent="0.25">
      <c r="B8" t="s">
        <v>393</v>
      </c>
      <c r="D8" s="68">
        <f>SUM(D4:D7)</f>
        <v>6.9987999999999992</v>
      </c>
    </row>
    <row r="9" spans="1:8" x14ac:dyDescent="0.25">
      <c r="B9" t="s">
        <v>391</v>
      </c>
      <c r="C9">
        <v>10</v>
      </c>
      <c r="D9" s="68">
        <f>SUM(D4:D7)/C9</f>
        <v>0.69987999999999995</v>
      </c>
      <c r="E9" t="s">
        <v>392</v>
      </c>
    </row>
    <row r="10" spans="1:8" x14ac:dyDescent="0.25">
      <c r="D10" s="62"/>
    </row>
    <row r="11" spans="1:8" x14ac:dyDescent="0.25">
      <c r="A11" s="4" t="s">
        <v>399</v>
      </c>
      <c r="C11" t="s">
        <v>406</v>
      </c>
      <c r="D11" s="62" t="s">
        <v>370</v>
      </c>
    </row>
    <row r="12" spans="1:8" x14ac:dyDescent="0.25">
      <c r="B12" t="s">
        <v>394</v>
      </c>
      <c r="C12" s="69">
        <v>9.25</v>
      </c>
      <c r="D12" s="70">
        <f>C12*'raw material cost'!C8</f>
        <v>16.465</v>
      </c>
    </row>
    <row r="13" spans="1:8" x14ac:dyDescent="0.25">
      <c r="B13" t="s">
        <v>396</v>
      </c>
      <c r="C13" s="69">
        <v>15</v>
      </c>
      <c r="D13" s="70">
        <f>'raw material cost'!C10*'How Much is Hao'!C13</f>
        <v>15</v>
      </c>
    </row>
    <row r="14" spans="1:8" x14ac:dyDescent="0.25">
      <c r="B14" t="s">
        <v>398</v>
      </c>
      <c r="C14" s="69">
        <v>350</v>
      </c>
      <c r="D14" s="70">
        <f>C14*'raw material cost'!C12</f>
        <v>4.046875</v>
      </c>
    </row>
    <row r="15" spans="1:8" x14ac:dyDescent="0.25">
      <c r="B15" s="63" t="s">
        <v>402</v>
      </c>
      <c r="C15" s="51">
        <f>C14</f>
        <v>350</v>
      </c>
      <c r="D15" s="70">
        <f>C14*0.00220462*2.4</f>
        <v>1.8518808</v>
      </c>
    </row>
    <row r="16" spans="1:8" x14ac:dyDescent="0.25">
      <c r="B16" s="64" t="s">
        <v>393</v>
      </c>
      <c r="D16" s="68">
        <f>SUM(D12:D15)</f>
        <v>37.363755800000007</v>
      </c>
    </row>
    <row r="17" spans="1:5" x14ac:dyDescent="0.25">
      <c r="B17" s="64" t="s">
        <v>403</v>
      </c>
      <c r="C17">
        <v>13.49</v>
      </c>
      <c r="D17" s="68">
        <f>D16/C17</f>
        <v>2.7697372720533733</v>
      </c>
      <c r="E17" t="s">
        <v>392</v>
      </c>
    </row>
    <row r="19" spans="1:5" x14ac:dyDescent="0.25">
      <c r="A19" s="4" t="s">
        <v>404</v>
      </c>
      <c r="C19" t="s">
        <v>406</v>
      </c>
      <c r="D19" t="s">
        <v>370</v>
      </c>
    </row>
    <row r="20" spans="1:5" x14ac:dyDescent="0.25">
      <c r="B20" t="s">
        <v>497</v>
      </c>
      <c r="C20" s="69">
        <v>11.44</v>
      </c>
      <c r="D20" s="70">
        <f>'raw material cost'!C14*'How Much is Hao'!C20</f>
        <v>11.44</v>
      </c>
    </row>
    <row r="21" spans="1:5" x14ac:dyDescent="0.25">
      <c r="B21" t="s">
        <v>496</v>
      </c>
      <c r="C21" s="69">
        <v>8.1300000000000008</v>
      </c>
      <c r="D21" s="70">
        <f>'raw material cost'!C16*'How Much is Hao'!C21</f>
        <v>13.089300000000001</v>
      </c>
    </row>
    <row r="22" spans="1:5" x14ac:dyDescent="0.25">
      <c r="B22" t="s">
        <v>504</v>
      </c>
      <c r="C22" s="69">
        <v>10.99</v>
      </c>
      <c r="D22" s="70">
        <f>D9*C22</f>
        <v>7.6916811999999997</v>
      </c>
    </row>
    <row r="23" spans="1:5" x14ac:dyDescent="0.25">
      <c r="B23" t="s">
        <v>495</v>
      </c>
      <c r="C23" s="69">
        <v>13.49</v>
      </c>
      <c r="D23" s="70">
        <f>D17*C23</f>
        <v>37.363755800000007</v>
      </c>
    </row>
    <row r="24" spans="1:5" x14ac:dyDescent="0.25">
      <c r="B24" t="s">
        <v>407</v>
      </c>
      <c r="C24" s="69">
        <v>300</v>
      </c>
      <c r="D24" s="70">
        <f>C24*'raw material cost'!C18</f>
        <v>6.0562500000000004</v>
      </c>
    </row>
    <row r="25" spans="1:5" x14ac:dyDescent="0.25">
      <c r="B25" s="63" t="s">
        <v>401</v>
      </c>
      <c r="C25" s="51">
        <v>0</v>
      </c>
      <c r="D25" s="70">
        <v>0</v>
      </c>
    </row>
    <row r="26" spans="1:5" x14ac:dyDescent="0.25">
      <c r="B26" t="s">
        <v>393</v>
      </c>
      <c r="D26" s="68">
        <f>SUM(D20:D25)</f>
        <v>75.64098700000001</v>
      </c>
    </row>
    <row r="27" spans="1:5" x14ac:dyDescent="0.25">
      <c r="B27" t="s">
        <v>403</v>
      </c>
      <c r="C27">
        <v>20.58</v>
      </c>
      <c r="D27" s="68">
        <f>D26/C27</f>
        <v>3.6754609815354722</v>
      </c>
      <c r="E27" t="s">
        <v>392</v>
      </c>
    </row>
    <row r="29" spans="1:5" x14ac:dyDescent="0.25">
      <c r="A29" s="4" t="s">
        <v>409</v>
      </c>
      <c r="C29" t="s">
        <v>406</v>
      </c>
      <c r="D29" t="s">
        <v>370</v>
      </c>
    </row>
    <row r="30" spans="1:5" x14ac:dyDescent="0.25">
      <c r="B30" t="s">
        <v>505</v>
      </c>
      <c r="C30" s="69">
        <v>2.76</v>
      </c>
      <c r="D30" s="70">
        <f>C30*'raw material cost'!C20</f>
        <v>19.540799999999997</v>
      </c>
    </row>
    <row r="31" spans="1:5" x14ac:dyDescent="0.25">
      <c r="B31" t="s">
        <v>498</v>
      </c>
      <c r="C31" s="69">
        <v>20.58</v>
      </c>
      <c r="D31" s="70">
        <f>D27*C31</f>
        <v>75.64098700000001</v>
      </c>
    </row>
    <row r="32" spans="1:5" x14ac:dyDescent="0.25">
      <c r="B32" t="s">
        <v>499</v>
      </c>
      <c r="C32" s="69">
        <v>500</v>
      </c>
      <c r="D32" s="70">
        <f>C32*'raw material cost'!C22</f>
        <v>5.34375</v>
      </c>
    </row>
    <row r="33" spans="1:5" x14ac:dyDescent="0.25">
      <c r="B33" t="s">
        <v>500</v>
      </c>
      <c r="C33" s="69">
        <v>1000</v>
      </c>
      <c r="D33" s="70">
        <f>C33*'raw material cost'!C24</f>
        <v>11</v>
      </c>
    </row>
    <row r="34" spans="1:5" x14ac:dyDescent="0.25">
      <c r="B34" s="63" t="s">
        <v>401</v>
      </c>
      <c r="C34" s="51">
        <f>SUM(C32:C33)</f>
        <v>1500</v>
      </c>
      <c r="D34" s="70">
        <f>C34*0.00220462*2.4</f>
        <v>7.9366319999999995</v>
      </c>
    </row>
    <row r="35" spans="1:5" x14ac:dyDescent="0.25">
      <c r="B35" s="64" t="s">
        <v>393</v>
      </c>
      <c r="D35" s="68">
        <f>SUM(D30:D34)</f>
        <v>119.46216900000002</v>
      </c>
    </row>
    <row r="36" spans="1:5" x14ac:dyDescent="0.25">
      <c r="B36" s="64" t="s">
        <v>403</v>
      </c>
      <c r="C36">
        <v>18.02</v>
      </c>
      <c r="D36" s="68">
        <f>D35/C36</f>
        <v>6.6294211431742518</v>
      </c>
      <c r="E36" t="s">
        <v>414</v>
      </c>
    </row>
    <row r="37" spans="1:5" x14ac:dyDescent="0.25">
      <c r="D37" s="62"/>
    </row>
    <row r="38" spans="1:5" x14ac:dyDescent="0.25">
      <c r="A38" s="4" t="s">
        <v>417</v>
      </c>
      <c r="C38" t="s">
        <v>406</v>
      </c>
      <c r="D38" t="s">
        <v>370</v>
      </c>
    </row>
    <row r="39" spans="1:5" x14ac:dyDescent="0.25">
      <c r="B39" t="s">
        <v>501</v>
      </c>
      <c r="C39" s="69">
        <v>7.02</v>
      </c>
      <c r="D39" s="71">
        <f>C39*'raw material cost'!C26</f>
        <v>3.0045599999999997</v>
      </c>
    </row>
    <row r="40" spans="1:5" x14ac:dyDescent="0.25">
      <c r="B40" t="s">
        <v>502</v>
      </c>
      <c r="C40" s="69">
        <v>4.24</v>
      </c>
      <c r="D40" s="71">
        <f>C40*'raw material cost'!C28</f>
        <v>0.59783999999999993</v>
      </c>
    </row>
    <row r="41" spans="1:5" x14ac:dyDescent="0.25">
      <c r="B41" t="s">
        <v>499</v>
      </c>
      <c r="C41" s="69">
        <v>500</v>
      </c>
      <c r="D41" s="71">
        <f>C41*'raw material cost'!C22</f>
        <v>5.34375</v>
      </c>
    </row>
    <row r="42" spans="1:5" x14ac:dyDescent="0.25">
      <c r="B42" t="s">
        <v>503</v>
      </c>
      <c r="C42" s="69">
        <v>18.02</v>
      </c>
      <c r="D42" s="71">
        <f>D36*C42</f>
        <v>119.46216900000002</v>
      </c>
    </row>
    <row r="43" spans="1:5" x14ac:dyDescent="0.25">
      <c r="B43" s="63" t="s">
        <v>401</v>
      </c>
      <c r="C43" s="51">
        <f>C41</f>
        <v>500</v>
      </c>
      <c r="D43" s="71">
        <f>C43*0.00220462*2.4</f>
        <v>2.6455439999999997</v>
      </c>
    </row>
    <row r="44" spans="1:5" x14ac:dyDescent="0.25">
      <c r="B44" t="s">
        <v>393</v>
      </c>
      <c r="D44" s="62">
        <f>SUM(D39:D43)</f>
        <v>131.05386300000001</v>
      </c>
    </row>
    <row r="45" spans="1:5" x14ac:dyDescent="0.25">
      <c r="B45" t="s">
        <v>403</v>
      </c>
      <c r="C45">
        <v>15.06</v>
      </c>
      <c r="D45" s="62">
        <f>D44/C45</f>
        <v>8.702115737051793</v>
      </c>
      <c r="E45" t="s">
        <v>414</v>
      </c>
    </row>
    <row r="46" spans="1:5" x14ac:dyDescent="0.25">
      <c r="D46" s="62"/>
    </row>
    <row r="47" spans="1:5" x14ac:dyDescent="0.25">
      <c r="D47" s="62"/>
    </row>
    <row r="48" spans="1:5" x14ac:dyDescent="0.25">
      <c r="A48" s="4" t="s">
        <v>148</v>
      </c>
      <c r="C48" t="s">
        <v>406</v>
      </c>
      <c r="D48" s="62" t="s">
        <v>370</v>
      </c>
    </row>
    <row r="49" spans="2:5" x14ac:dyDescent="0.25">
      <c r="B49" s="72" t="s">
        <v>418</v>
      </c>
      <c r="C49" s="73">
        <v>8.94</v>
      </c>
      <c r="D49" s="71">
        <f>C49*D45</f>
        <v>77.796914689243025</v>
      </c>
    </row>
    <row r="50" spans="2:5" x14ac:dyDescent="0.25">
      <c r="B50" s="72" t="s">
        <v>411</v>
      </c>
      <c r="C50" s="73">
        <v>400</v>
      </c>
      <c r="D50" s="71">
        <f>'raw material cost'!C22*C50</f>
        <v>4.2750000000000004</v>
      </c>
    </row>
    <row r="51" spans="2:5" x14ac:dyDescent="0.25">
      <c r="B51" s="63" t="s">
        <v>401</v>
      </c>
      <c r="C51" s="51">
        <f>C50</f>
        <v>400</v>
      </c>
      <c r="D51" s="71">
        <f>C51*0.00220462*2.4</f>
        <v>2.1164351999999997</v>
      </c>
    </row>
    <row r="52" spans="2:5" x14ac:dyDescent="0.25">
      <c r="B52" s="64" t="s">
        <v>393</v>
      </c>
      <c r="D52" s="62">
        <f>SUM(D49:D51)</f>
        <v>84.188349889243028</v>
      </c>
    </row>
    <row r="53" spans="2:5" x14ac:dyDescent="0.25">
      <c r="B53" s="64" t="s">
        <v>403</v>
      </c>
      <c r="C53">
        <v>8.42</v>
      </c>
      <c r="D53" s="62">
        <f>D52/C53</f>
        <v>9.9986163763946596</v>
      </c>
      <c r="E53" t="s">
        <v>414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8"/>
  <sheetViews>
    <sheetView topLeftCell="A14" workbookViewId="0">
      <selection activeCell="B29" sqref="B29"/>
    </sheetView>
  </sheetViews>
  <sheetFormatPr defaultRowHeight="15" x14ac:dyDescent="0.25"/>
  <cols>
    <col min="2" max="2" width="21.28515625" customWidth="1"/>
  </cols>
  <sheetData>
    <row r="1" spans="2:3" x14ac:dyDescent="0.25">
      <c r="C1" t="s">
        <v>384</v>
      </c>
    </row>
    <row r="2" spans="2:3" x14ac:dyDescent="0.25">
      <c r="B2" t="s">
        <v>383</v>
      </c>
      <c r="C2">
        <f>(24.58/500)</f>
        <v>4.9159999999999995E-2</v>
      </c>
    </row>
    <row r="4" spans="2:3" x14ac:dyDescent="0.25">
      <c r="B4" t="s">
        <v>385</v>
      </c>
      <c r="C4">
        <f>30/2500</f>
        <v>1.2E-2</v>
      </c>
    </row>
    <row r="6" spans="2:3" x14ac:dyDescent="0.25">
      <c r="B6" t="s">
        <v>386</v>
      </c>
      <c r="C6">
        <f>156.2/500</f>
        <v>0.31239999999999996</v>
      </c>
    </row>
    <row r="8" spans="2:3" x14ac:dyDescent="0.25">
      <c r="B8" t="s">
        <v>395</v>
      </c>
      <c r="C8">
        <f>89/50</f>
        <v>1.78</v>
      </c>
    </row>
    <row r="10" spans="2:3" x14ac:dyDescent="0.25">
      <c r="B10" t="s">
        <v>397</v>
      </c>
      <c r="C10">
        <f>1000/1000</f>
        <v>1</v>
      </c>
    </row>
    <row r="12" spans="2:3" x14ac:dyDescent="0.25">
      <c r="B12" t="s">
        <v>400</v>
      </c>
      <c r="C12">
        <f>185/16000</f>
        <v>1.15625E-2</v>
      </c>
    </row>
    <row r="14" spans="2:3" x14ac:dyDescent="0.25">
      <c r="B14" t="s">
        <v>405</v>
      </c>
      <c r="C14">
        <f>200/200</f>
        <v>1</v>
      </c>
    </row>
    <row r="16" spans="2:3" x14ac:dyDescent="0.25">
      <c r="B16" t="s">
        <v>154</v>
      </c>
      <c r="C16">
        <f>322/200</f>
        <v>1.61</v>
      </c>
    </row>
    <row r="18" spans="2:3" x14ac:dyDescent="0.25">
      <c r="B18" t="s">
        <v>408</v>
      </c>
      <c r="C18">
        <f>323/16000</f>
        <v>2.0187500000000001E-2</v>
      </c>
    </row>
    <row r="20" spans="2:3" x14ac:dyDescent="0.25">
      <c r="B20" t="s">
        <v>410</v>
      </c>
      <c r="C20">
        <f>354/50</f>
        <v>7.08</v>
      </c>
    </row>
    <row r="22" spans="2:3" x14ac:dyDescent="0.25">
      <c r="B22" t="s">
        <v>412</v>
      </c>
      <c r="C22">
        <f>171/16000</f>
        <v>1.0687500000000001E-2</v>
      </c>
    </row>
    <row r="24" spans="2:3" x14ac:dyDescent="0.25">
      <c r="B24" t="s">
        <v>413</v>
      </c>
      <c r="C24">
        <f>275/25000</f>
        <v>1.0999999999999999E-2</v>
      </c>
    </row>
    <row r="26" spans="2:3" x14ac:dyDescent="0.25">
      <c r="B26" t="s">
        <v>415</v>
      </c>
      <c r="C26">
        <f>214/500</f>
        <v>0.42799999999999999</v>
      </c>
    </row>
    <row r="28" spans="2:3" x14ac:dyDescent="0.25">
      <c r="B28" t="s">
        <v>416</v>
      </c>
      <c r="C28">
        <f>141/1000</f>
        <v>0.14099999999999999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AP92"/>
  <sheetViews>
    <sheetView zoomScaleNormal="100" workbookViewId="0">
      <selection activeCell="B12" sqref="B12"/>
    </sheetView>
  </sheetViews>
  <sheetFormatPr defaultRowHeight="15" x14ac:dyDescent="0.25"/>
  <cols>
    <col min="1" max="1" width="3.42578125" customWidth="1"/>
    <col min="2" max="2" width="25" customWidth="1"/>
    <col min="3" max="3" width="15.85546875" hidden="1" customWidth="1"/>
    <col min="4" max="4" width="22.5703125" customWidth="1"/>
    <col min="5" max="5" width="17.140625" hidden="1" customWidth="1"/>
    <col min="6" max="6" width="17.42578125" customWidth="1"/>
    <col min="7" max="7" width="17.28515625" customWidth="1"/>
    <col min="8" max="8" width="16.5703125" customWidth="1"/>
    <col min="9" max="9" width="15.42578125" customWidth="1"/>
    <col min="10" max="10" width="11.7109375" customWidth="1"/>
    <col min="11" max="11" width="14.5703125" customWidth="1"/>
    <col min="12" max="12" width="13.28515625" customWidth="1"/>
    <col min="13" max="13" width="15" customWidth="1"/>
    <col min="14" max="14" width="13.5703125" customWidth="1"/>
    <col min="15" max="15" width="13.140625" customWidth="1"/>
    <col min="16" max="16" width="9.5703125" bestFit="1" customWidth="1"/>
    <col min="21" max="21" width="8.85546875" customWidth="1"/>
    <col min="22" max="22" width="3.7109375" customWidth="1"/>
    <col min="23" max="23" width="10.140625" hidden="1" customWidth="1"/>
    <col min="24" max="24" width="15.140625" hidden="1" customWidth="1"/>
    <col min="25" max="25" width="9.140625" hidden="1" customWidth="1"/>
    <col min="26" max="26" width="11.28515625" hidden="1" customWidth="1"/>
    <col min="27" max="27" width="11.42578125" hidden="1" customWidth="1"/>
    <col min="28" max="28" width="10.42578125" hidden="1" customWidth="1"/>
    <col min="29" max="29" width="11.5703125" hidden="1" customWidth="1"/>
    <col min="30" max="34" width="9.140625" hidden="1" customWidth="1"/>
    <col min="35" max="44" width="0" hidden="1" customWidth="1"/>
  </cols>
  <sheetData>
    <row r="1" spans="1:42" x14ac:dyDescent="0.25">
      <c r="G1" t="s">
        <v>156</v>
      </c>
      <c r="R1" t="s">
        <v>162</v>
      </c>
      <c r="S1">
        <v>0.7</v>
      </c>
      <c r="T1" t="s">
        <v>293</v>
      </c>
    </row>
    <row r="2" spans="1:42" x14ac:dyDescent="0.25">
      <c r="B2" s="4"/>
      <c r="D2" s="49" t="s">
        <v>176</v>
      </c>
      <c r="E2" s="50"/>
      <c r="F2" s="50">
        <f>F28</f>
        <v>2212.8232619999999</v>
      </c>
      <c r="G2" s="4"/>
      <c r="H2" s="4"/>
      <c r="AP2" t="s">
        <v>74</v>
      </c>
    </row>
    <row r="3" spans="1:42" x14ac:dyDescent="0.25">
      <c r="D3" s="4"/>
      <c r="K3" s="4" t="s">
        <v>47</v>
      </c>
      <c r="S3" t="s">
        <v>102</v>
      </c>
      <c r="T3" t="s">
        <v>103</v>
      </c>
      <c r="Z3" t="s">
        <v>90</v>
      </c>
      <c r="AA3" t="s">
        <v>311</v>
      </c>
      <c r="AB3" t="s">
        <v>312</v>
      </c>
      <c r="AC3" t="s">
        <v>321</v>
      </c>
      <c r="AD3" t="s">
        <v>322</v>
      </c>
      <c r="AE3" t="s">
        <v>315</v>
      </c>
      <c r="AF3" t="s">
        <v>316</v>
      </c>
      <c r="AG3" t="s">
        <v>317</v>
      </c>
      <c r="AH3" t="s">
        <v>318</v>
      </c>
      <c r="AP3" t="s">
        <v>75</v>
      </c>
    </row>
    <row r="4" spans="1:42" x14ac:dyDescent="0.25">
      <c r="B4" s="10" t="s">
        <v>155</v>
      </c>
      <c r="C4" s="4" t="s">
        <v>13</v>
      </c>
      <c r="D4" s="10" t="s">
        <v>99</v>
      </c>
      <c r="J4" s="10" t="s">
        <v>332</v>
      </c>
      <c r="K4" s="10" t="s">
        <v>333</v>
      </c>
      <c r="L4" s="10" t="s">
        <v>334</v>
      </c>
      <c r="S4">
        <v>6</v>
      </c>
      <c r="T4">
        <f>S4*$F$28*($S$1/1000)</f>
        <v>9.2938577004000003</v>
      </c>
    </row>
    <row r="5" spans="1:42" x14ac:dyDescent="0.25">
      <c r="A5" s="4">
        <f t="shared" ref="A5:A36" si="0">IF(B5="","",A4+1)</f>
        <v>1</v>
      </c>
      <c r="B5" s="11" t="str">
        <f>IF('Sequence Calculations'!B14="","",VLOOKUP('Sequence Calculations'!F4,'AA Exact Masses'!$A$3:$E$52,2,FALSE))</f>
        <v>Orn(Boc)</v>
      </c>
      <c r="C5">
        <f>IF(Y5=TRUE,IF(B5="","",VLOOKUP('Sequence Calculations'!F4, 'AA Exact Masses'!$A$3:$E$52, 3,FALSE)),"")</f>
        <v>214.13175000000001</v>
      </c>
      <c r="D5" s="22">
        <v>1247</v>
      </c>
      <c r="E5">
        <f>IF(Y5=TRUE,IF(B5="","",VLOOKUP('Sequence Calculations'!F4,'AA Exact Masses'!$A$3:$E$52,4,FALSE)),"")</f>
        <v>114.07932</v>
      </c>
      <c r="F5" s="4" t="s">
        <v>98</v>
      </c>
      <c r="G5" s="4" t="s">
        <v>488</v>
      </c>
      <c r="H5" s="61" t="s">
        <v>75</v>
      </c>
      <c r="I5" s="14" t="s">
        <v>28</v>
      </c>
      <c r="J5" s="30">
        <f>$D$15+'AA Exact Masses'!$Q$2</f>
        <v>2301.22624</v>
      </c>
      <c r="K5" s="30">
        <f>$D$15+'AA Exact Masses'!$Q$3</f>
        <v>2323.20822</v>
      </c>
      <c r="L5" s="30">
        <f>$D$15+'AA Exact Masses'!$Q$4</f>
        <v>2339.1821300000001</v>
      </c>
      <c r="M5" s="31"/>
      <c r="N5" s="31"/>
      <c r="O5" s="31"/>
      <c r="S5">
        <v>0.5</v>
      </c>
      <c r="T5">
        <f t="shared" ref="T5:T9" si="1">S5*$F$28*($S$1/1000)</f>
        <v>0.77448814169999991</v>
      </c>
      <c r="W5">
        <f>IF(Y5=TRUE,IF(B5="","",VLOOKUP('Sequence Calculations'!F4, 'Molecular Weight'!$A$3:$E$47, 4,FALSE)),0)</f>
        <v>1.0728260869565218</v>
      </c>
      <c r="X5">
        <f>IF(Y5=TRUE,IF(B5="","",VLOOKUP('Sequence Calculations'!F4, 'Molecular Weight'!$A$3:$B$47, 2,FALSE)),"")</f>
        <v>114.14471999999999</v>
      </c>
      <c r="Y5" t="b">
        <v>1</v>
      </c>
      <c r="Z5">
        <f>IF(C5="","",VLOOKUP('Sequence Calculations'!F4,'AA Exact Masses'!A$2:F$52,6,FALSE))</f>
        <v>1</v>
      </c>
      <c r="AA5">
        <f>IF(Y5=TRUE,IF(B5="","",VLOOKUP('Sequence Calculations'!F4,'AA Exact Masses'!A$3:N$52, 7,FALSE)),"")</f>
        <v>5</v>
      </c>
      <c r="AB5">
        <f>IF(Y5=TRUE,IF(B5="","",VLOOKUP('Sequence Calculations'!F4,'AA Exact Masses'!A$3:N$52, 8,FALSE)),"")</f>
        <v>10</v>
      </c>
      <c r="AC5">
        <f>IF(Y5=TRUE,IF(B5="","",VLOOKUP('Sequence Calculations'!F4,'AA Exact Masses'!A$3:N$52, 9,FALSE)),"")</f>
        <v>2</v>
      </c>
      <c r="AD5">
        <f>IF(Y5=TRUE,IF(B5="","",VLOOKUP('Sequence Calculations'!F4,'AA Exact Masses'!A$3:N$52, 10,FALSE)),"")</f>
        <v>1</v>
      </c>
      <c r="AE5">
        <f>IF(Y5=TRUE,IF(B5="","",VLOOKUP('Sequence Calculations'!F4,'AA Exact Masses'!A$3:N$52, 11,FALSE)),"")</f>
        <v>0</v>
      </c>
      <c r="AF5">
        <f>IF(Y5=TRUE,IF(B5="","",VLOOKUP('Sequence Calculations'!F4,'AA Exact Masses'!A$3:N$52, 12,FALSE)),"")</f>
        <v>0</v>
      </c>
      <c r="AG5">
        <f>IF(Y5=TRUE,IF(B5="","",VLOOKUP('Sequence Calculations'!F4,'AA Exact Masses'!A$3:N$52, 13,FALSE)),"")</f>
        <v>0</v>
      </c>
      <c r="AH5">
        <f>IF(Y5=TRUE,IF(B5="","",VLOOKUP('Sequence Calculations'!F4,'AA Exact Masses'!A$3:N$52, 14,FALSE)),"")</f>
        <v>0</v>
      </c>
    </row>
    <row r="6" spans="1:42" x14ac:dyDescent="0.25">
      <c r="A6" s="4">
        <f t="shared" si="0"/>
        <v>2</v>
      </c>
      <c r="B6" s="11" t="str">
        <f>IF('Sequence Calculations'!B14="","",VLOOKUP('Sequence Calculations'!B14,'AA Exact Masses'!$A$3:$E$52,2,FALSE))</f>
        <v>Ala</v>
      </c>
      <c r="C6">
        <f>IF(Y6=TRUE,IF(B6="","",VLOOKUP('Sequence Calculations'!B14, 'AA Exact Masses'!$A$3:$E$52, 3,FALSE)),"")</f>
        <v>71.037109999999998</v>
      </c>
      <c r="D6" s="23" t="s">
        <v>74</v>
      </c>
      <c r="E6">
        <f>IF(Y6=TRUE,IF(B6="","",VLOOKUP('Sequence Calculations'!B14,'AA Exact Masses'!$A$3:$E$52,4,FALSE)),"")</f>
        <v>71.037109999999998</v>
      </c>
      <c r="F6" s="4" t="s">
        <v>73</v>
      </c>
      <c r="G6" s="4" t="s">
        <v>489</v>
      </c>
      <c r="H6" s="61" t="s">
        <v>75</v>
      </c>
      <c r="I6" s="14" t="s">
        <v>491</v>
      </c>
      <c r="J6" s="32">
        <f>$F$15+'AA Exact Masses'!$Q2</f>
        <v>1888.94373</v>
      </c>
      <c r="K6" s="32">
        <f>$F$15+'AA Exact Masses'!$Q$3</f>
        <v>1910.92571</v>
      </c>
      <c r="L6" s="32">
        <f>$F$15+'AA Exact Masses'!$Q$4</f>
        <v>1926.8996199999999</v>
      </c>
      <c r="M6" s="31"/>
      <c r="N6" s="31"/>
      <c r="O6" s="31"/>
      <c r="S6">
        <v>1</v>
      </c>
      <c r="T6">
        <f t="shared" si="1"/>
        <v>1.5489762833999998</v>
      </c>
      <c r="W6">
        <f>IF(Y6=TRUE,IF(B6="","",VLOOKUP('Sequence Calculations'!B14, 'Molecular Weight'!$A$3:$E$47, 4,FALSE)),0)</f>
        <v>0.5</v>
      </c>
      <c r="X6">
        <f>IF(Y6=TRUE,IF(B6="","",VLOOKUP('Sequence Calculations'!B14, 'Molecular Weight'!$A$3:$B$47, 2,FALSE)),"")</f>
        <v>71.078220000000002</v>
      </c>
      <c r="Y6" t="b">
        <v>1</v>
      </c>
      <c r="Z6">
        <f>IF(C6="","",VLOOKUP('Sequence Calculations'!B14,'AA Exact Masses'!A$2:F$52,6,FALSE))</f>
        <v>0</v>
      </c>
      <c r="AA6">
        <f>IF(Y6=TRUE,IF(B6="","",VLOOKUP('Sequence Calculations'!B14,'AA Exact Masses'!A$3:N$52, 7,FALSE)),"")</f>
        <v>3</v>
      </c>
      <c r="AB6">
        <f>IF(Y6=TRUE,IF(B6="","",VLOOKUP('Sequence Calculations'!B14,'AA Exact Masses'!A$3:N$52, 8,FALSE)),"")</f>
        <v>5</v>
      </c>
      <c r="AC6">
        <f>IF(Y6=TRUE,IF(B6="","",VLOOKUP('Sequence Calculations'!B14,'AA Exact Masses'!A$3:N$52, 9,FALSE)),"")</f>
        <v>1</v>
      </c>
      <c r="AD6">
        <f>IF(Y6=TRUE,IF(B6="","",VLOOKUP('Sequence Calculations'!B14,'AA Exact Masses'!A$3:N$52, 10,FALSE)),"")</f>
        <v>1</v>
      </c>
      <c r="AE6">
        <f>IF(Y6=TRUE,IF(B6="","",VLOOKUP('Sequence Calculations'!B14,'AA Exact Masses'!A$3:N$52, 11,FALSE)),"")</f>
        <v>0</v>
      </c>
      <c r="AF6">
        <f>IF(Y6=TRUE,IF(B6="","",VLOOKUP('Sequence Calculations'!B14,'AA Exact Masses'!A$3:N$52, 12,FALSE)),"")</f>
        <v>0</v>
      </c>
      <c r="AG6">
        <f>IF(Y6=TRUE,IF(B6="","",VLOOKUP('Sequence Calculations'!B14,'AA Exact Masses'!A$3:N$52, 13,FALSE)),"")</f>
        <v>0</v>
      </c>
      <c r="AH6">
        <f>IF(Y6=TRUE,IF(B6="","",VLOOKUP('Sequence Calculations'!B14,'AA Exact Masses'!A$3:N$52, 14,FALSE)),"")</f>
        <v>0</v>
      </c>
    </row>
    <row r="7" spans="1:42" x14ac:dyDescent="0.25">
      <c r="A7" s="4">
        <f t="shared" si="0"/>
        <v>3</v>
      </c>
      <c r="B7" s="11" t="str">
        <f>IF('Sequence Calculations'!B15="","",VLOOKUP('Sequence Calculations'!B15,'AA Exact Masses'!$A$3:$E$52,2,FALSE))</f>
        <v>Ile</v>
      </c>
      <c r="C7">
        <f>IF(Y7=TRUE,IF(B7="","",VLOOKUP('Sequence Calculations'!B15, 'AA Exact Masses'!$A$3:$E$52, 3,FALSE)),"")</f>
        <v>113.08405999999999</v>
      </c>
      <c r="D7" s="23" t="s">
        <v>75</v>
      </c>
      <c r="E7">
        <f>IF(Y7=TRUE,IF(B7="","",VLOOKUP('Sequence Calculations'!B15,'AA Exact Masses'!$A$3:$E$52,4,FALSE)),"")</f>
        <v>113.08405999999999</v>
      </c>
      <c r="F7" s="4" t="s">
        <v>76</v>
      </c>
      <c r="G7" s="4" t="s">
        <v>487</v>
      </c>
      <c r="H7" s="66">
        <v>0</v>
      </c>
      <c r="J7" s="33" t="s">
        <v>330</v>
      </c>
      <c r="K7" s="33" t="s">
        <v>331</v>
      </c>
      <c r="L7" s="33" t="s">
        <v>335</v>
      </c>
      <c r="M7" s="33" t="s">
        <v>357</v>
      </c>
      <c r="N7" s="33" t="s">
        <v>336</v>
      </c>
      <c r="O7" s="33" t="s">
        <v>337</v>
      </c>
      <c r="S7">
        <v>1.5</v>
      </c>
      <c r="T7">
        <f t="shared" si="1"/>
        <v>2.3234644251000001</v>
      </c>
      <c r="W7">
        <f>IF(Y7=TRUE,IF(B7="","",VLOOKUP('Sequence Calculations'!B15, 'Molecular Weight'!$A$3:$E$47, 4,FALSE)),0)</f>
        <v>-1.1200000000000001</v>
      </c>
      <c r="X7">
        <f>IF(Y7=TRUE,IF(B7="","",VLOOKUP('Sequence Calculations'!B15, 'Molecular Weight'!$A$3:$B$47, 2,FALSE)),"")</f>
        <v>113.15831999999999</v>
      </c>
      <c r="Y7" t="b">
        <v>1</v>
      </c>
      <c r="Z7">
        <f>IF(C7="","",VLOOKUP('Sequence Calculations'!B15,'AA Exact Masses'!A$2:F$52,6,FALSE))</f>
        <v>0</v>
      </c>
      <c r="AA7">
        <f>IF(Y7=TRUE,IF(B7="","",VLOOKUP('Sequence Calculations'!B15,'AA Exact Masses'!A$3:N$52, 7,FALSE)),"")</f>
        <v>6</v>
      </c>
      <c r="AB7">
        <f>IF(Y7=TRUE,IF(B7="","",VLOOKUP('Sequence Calculations'!B15,'AA Exact Masses'!A$3:N$52, 8,FALSE)),"")</f>
        <v>11</v>
      </c>
      <c r="AC7">
        <f>IF(Y7=TRUE,IF(B7="","",VLOOKUP('Sequence Calculations'!B15,'AA Exact Masses'!A$3:N$52, 9,FALSE)),"")</f>
        <v>1</v>
      </c>
      <c r="AD7">
        <f>IF(Y7=TRUE,IF(B7="","",VLOOKUP('Sequence Calculations'!B15,'AA Exact Masses'!A$3:N$52, 10,FALSE)),"")</f>
        <v>1</v>
      </c>
      <c r="AE7">
        <f>IF(Y7=TRUE,IF(B7="","",VLOOKUP('Sequence Calculations'!B15,'AA Exact Masses'!A$3:N$52, 11,FALSE)),"")</f>
        <v>0</v>
      </c>
      <c r="AF7">
        <f>IF(Y7=TRUE,IF(B7="","",VLOOKUP('Sequence Calculations'!B15,'AA Exact Masses'!A$3:N$52, 12,FALSE)),"")</f>
        <v>0</v>
      </c>
      <c r="AG7">
        <f>IF(Y7=TRUE,IF(B7="","",VLOOKUP('Sequence Calculations'!B15,'AA Exact Masses'!A$3:N$52, 13,FALSE)),"")</f>
        <v>0</v>
      </c>
      <c r="AH7">
        <f>IF(Y7=TRUE,IF(B7="","",VLOOKUP('Sequence Calculations'!B15,'AA Exact Masses'!A$3:N$52, 14,FALSE)),"")</f>
        <v>0</v>
      </c>
    </row>
    <row r="8" spans="1:42" x14ac:dyDescent="0.25">
      <c r="A8" s="4">
        <f t="shared" si="0"/>
        <v>4</v>
      </c>
      <c r="B8" s="11" t="str">
        <f>IF('Sequence Calculations'!B16="","",VLOOKUP('Sequence Calculations'!B16,'AA Exact Masses'!$A$3:$E$52,2,FALSE))</f>
        <v>Ile</v>
      </c>
      <c r="C8">
        <f>IF(Y8=TRUE,IF(B8="","",VLOOKUP('Sequence Calculations'!B16, 'AA Exact Masses'!$A$3:$E$52, 3,FALSE)),"")</f>
        <v>113.08405999999999</v>
      </c>
      <c r="D8" s="61" t="s">
        <v>376</v>
      </c>
      <c r="E8">
        <f>IF(Y8=TRUE,IF(B8="","",VLOOKUP('Sequence Calculations'!B16,'AA Exact Masses'!$A$3:$E$52,4,FALSE)),"")</f>
        <v>113.08405999999999</v>
      </c>
      <c r="F8" s="4" t="s">
        <v>378</v>
      </c>
      <c r="I8" s="14" t="s">
        <v>28</v>
      </c>
      <c r="J8" s="30">
        <f>($D$15+'AA Exact Masses'!$Q$2*2)/2</f>
        <v>1151.1170300000001</v>
      </c>
      <c r="K8" s="30">
        <f>($D$15+2*'AA Exact Masses'!$Q$3)/2</f>
        <v>1173.0990100000001</v>
      </c>
      <c r="L8" s="30">
        <f>($D$15+2*'AA Exact Masses'!$Q$4)/2</f>
        <v>1189.0729200000001</v>
      </c>
      <c r="M8" s="30">
        <f>($D$15+'AA Exact Masses'!$Q$2+'AA Exact Masses'!$Q$3)/2</f>
        <v>1162.1080199999999</v>
      </c>
      <c r="N8" s="30">
        <f>($D$15+'AA Exact Masses'!$Q$3+'AA Exact Masses'!$Q$4)/2</f>
        <v>1181.085965</v>
      </c>
      <c r="O8" s="30">
        <f>($D$15+'AA Exact Masses'!$Q$2+'AA Exact Masses'!$Q$4)/2</f>
        <v>1170.094975</v>
      </c>
      <c r="S8">
        <v>2</v>
      </c>
      <c r="T8">
        <f t="shared" si="1"/>
        <v>3.0979525667999996</v>
      </c>
      <c r="W8">
        <f>IF(Y8=TRUE,IF(B8="","",VLOOKUP('Sequence Calculations'!B16, 'Molecular Weight'!$A$3:$E$47, 4,FALSE)),0)</f>
        <v>-1.1200000000000001</v>
      </c>
      <c r="X8">
        <f>IF(Y8=TRUE,IF(B8="","",VLOOKUP('Sequence Calculations'!B16, 'Molecular Weight'!$A$3:$B$47, 2,FALSE)),"")</f>
        <v>113.15831999999999</v>
      </c>
      <c r="Y8" t="b">
        <v>1</v>
      </c>
      <c r="Z8">
        <f>IF(C8="","",VLOOKUP('Sequence Calculations'!B16,'AA Exact Masses'!A$2:F$52,6,FALSE))</f>
        <v>0</v>
      </c>
      <c r="AA8">
        <f>IF(Y8=TRUE,IF(B8="","",VLOOKUP('Sequence Calculations'!B16,'AA Exact Masses'!A$3:N$52, 7,FALSE)),"")</f>
        <v>6</v>
      </c>
      <c r="AB8">
        <f>IF(Y8=TRUE,IF(B8="","",VLOOKUP('Sequence Calculations'!B16,'AA Exact Masses'!A$3:N$52, 8,FALSE)),"")</f>
        <v>11</v>
      </c>
      <c r="AC8">
        <f>IF(Y8=TRUE,IF(B8="","",VLOOKUP('Sequence Calculations'!B16,'AA Exact Masses'!A$3:N$52, 9,FALSE)),"")</f>
        <v>1</v>
      </c>
      <c r="AD8">
        <f>IF(Y8=TRUE,IF(B8="","",VLOOKUP('Sequence Calculations'!B16,'AA Exact Masses'!A$3:N$52, 10,FALSE)),"")</f>
        <v>1</v>
      </c>
      <c r="AE8">
        <f>IF(Y8=TRUE,IF(B8="","",VLOOKUP('Sequence Calculations'!B16,'AA Exact Masses'!A$3:N$52, 11,FALSE)),"")</f>
        <v>0</v>
      </c>
      <c r="AF8">
        <f>IF(Y8=TRUE,IF(B8="","",VLOOKUP('Sequence Calculations'!B16,'AA Exact Masses'!A$3:N$52, 12,FALSE)),"")</f>
        <v>0</v>
      </c>
      <c r="AG8">
        <f>IF(Y8=TRUE,IF(B8="","",VLOOKUP('Sequence Calculations'!B16,'AA Exact Masses'!A$3:N$52, 13,FALSE)),"")</f>
        <v>0</v>
      </c>
      <c r="AH8">
        <f>IF(Y8=TRUE,IF(B8="","",VLOOKUP('Sequence Calculations'!B16,'AA Exact Masses'!A$3:N$52, 14,FALSE)),"")</f>
        <v>0</v>
      </c>
    </row>
    <row r="9" spans="1:42" x14ac:dyDescent="0.25">
      <c r="A9" s="4">
        <f t="shared" si="0"/>
        <v>5</v>
      </c>
      <c r="B9" s="11" t="str">
        <f>IF('Sequence Calculations'!B17="","",VLOOKUP('Sequence Calculations'!B17,'AA Exact Masses'!$A$3:$E$52,2,FALSE))</f>
        <v>N-Meth-Gly</v>
      </c>
      <c r="C9">
        <f>IF(Y9=TRUE,IF(B9="","",VLOOKUP('Sequence Calculations'!B17, 'AA Exact Masses'!$A$3:$E$52, 3,FALSE)),"")</f>
        <v>71.037109999999998</v>
      </c>
      <c r="D9" s="14" t="s">
        <v>90</v>
      </c>
      <c r="E9">
        <f>IF(Y9=TRUE,IF(B9="","",VLOOKUP('Sequence Calculations'!B17,'AA Exact Masses'!$A$3:$E$52,4,FALSE)),"")</f>
        <v>71.037109999999998</v>
      </c>
      <c r="F9" s="26" t="str">
        <f>IF(ISNA(VLOOKUP(TRUNC($D$5,0),Aggregate!$Z$3:$AB$25,2,FALSE)),IF(ISNA(VLOOKUP(TRUNC($D$5,0),Aggregate!$AC$3:$AE$25,2,FALSE)),IF(ISNA(VLOOKUP(TRUNC($D$5,0),Aggregate!$AF$3:$AH$25,2,FALSE)),IF(ISNA(VLOOKUP(TRUNC($D$5,0),Aggregate!$AI$3:$AK$25,2,FALSE)),"No Match",VLOOKUP(TRUNC($D$5,0),Aggregate!$AI$3:$AK$25,2,FALSE)),VLOOKUP(TRUNC($D$5,0),Aggregate!$AF$3:$AH$25,2,FALSE)),VLOOKUP(TRUNC($D$5,0),Aggregate!$AC$3:$AE$25,2,FALSE)), VLOOKUP(TRUNC($D$5,0),Aggregate!$Z$3:$AB$25,2,FALSE))</f>
        <v>[2M+3H]3+</v>
      </c>
      <c r="I9" s="14" t="s">
        <v>491</v>
      </c>
      <c r="J9" s="32">
        <f>($F$15+'AA Exact Masses'!$Q$2*2)/2</f>
        <v>944.975775</v>
      </c>
      <c r="K9" s="32">
        <f>($F$15+2*'AA Exact Masses'!$Q$3)/2</f>
        <v>966.95775499999991</v>
      </c>
      <c r="L9" s="32">
        <f>($F$15+2*'AA Exact Masses'!$Q$4)/2</f>
        <v>982.93166499999995</v>
      </c>
      <c r="M9" s="32">
        <f>($F$15+'AA Exact Masses'!$Q$2+'AA Exact Masses'!$Q$3)/2</f>
        <v>955.96676500000001</v>
      </c>
      <c r="N9" s="32">
        <f>($F$15+'AA Exact Masses'!$Q$3+'AA Exact Masses'!$Q$4)/2</f>
        <v>974.94470999999999</v>
      </c>
      <c r="O9" s="32">
        <f>($F$15+'AA Exact Masses'!$Q$2+'AA Exact Masses'!$Q$4)/2</f>
        <v>963.95371999999998</v>
      </c>
      <c r="S9">
        <v>0.75</v>
      </c>
      <c r="T9">
        <f t="shared" si="1"/>
        <v>1.16173221255</v>
      </c>
      <c r="W9">
        <f>IF(Y9=TRUE,IF(B9="","",VLOOKUP('Sequence Calculations'!B17, 'Molecular Weight'!$A$3:$E$47, 4,FALSE)),0)</f>
        <v>-0.17663043478260856</v>
      </c>
      <c r="X9">
        <f>IF(Y9=TRUE,IF(B9="","",VLOOKUP('Sequence Calculations'!B17, 'Molecular Weight'!$A$3:$B$47, 2,FALSE)),"")</f>
        <v>71.037109999999998</v>
      </c>
      <c r="Y9" t="b">
        <v>1</v>
      </c>
      <c r="Z9">
        <f>IF(C9="","",VLOOKUP('Sequence Calculations'!B17,'AA Exact Masses'!A$2:F$52,6,FALSE))</f>
        <v>0</v>
      </c>
      <c r="AA9">
        <f>IF(Y9=TRUE,IF(B9="","",VLOOKUP('Sequence Calculations'!B17,'AA Exact Masses'!A$3:N$52, 7,FALSE)),"")</f>
        <v>3</v>
      </c>
      <c r="AB9">
        <f>IF(Y9=TRUE,IF(B9="","",VLOOKUP('Sequence Calculations'!B17,'AA Exact Masses'!A$3:N$52, 8,FALSE)),"")</f>
        <v>5</v>
      </c>
      <c r="AC9">
        <f>IF(Y9=TRUE,IF(B9="","",VLOOKUP('Sequence Calculations'!B17,'AA Exact Masses'!A$3:N$52, 9,FALSE)),"")</f>
        <v>1</v>
      </c>
      <c r="AD9">
        <f>IF(Y9=TRUE,IF(B9="","",VLOOKUP('Sequence Calculations'!B17,'AA Exact Masses'!A$3:N$52, 10,FALSE)),"")</f>
        <v>1</v>
      </c>
      <c r="AE9">
        <f>IF(Y9=TRUE,IF(B9="","",VLOOKUP('Sequence Calculations'!B17,'AA Exact Masses'!A$3:N$52, 11,FALSE)),"")</f>
        <v>0</v>
      </c>
      <c r="AF9">
        <f>IF(Y9=TRUE,IF(B9="","",VLOOKUP('Sequence Calculations'!B17,'AA Exact Masses'!A$3:N$52, 12,FALSE)),"")</f>
        <v>0</v>
      </c>
      <c r="AG9">
        <f>IF(Y9=TRUE,IF(B9="","",VLOOKUP('Sequence Calculations'!B17,'AA Exact Masses'!A$3:N$52, 13,FALSE)),"")</f>
        <v>0</v>
      </c>
      <c r="AH9">
        <f>IF(Y9=TRUE,IF(B9="","",VLOOKUP('Sequence Calculations'!B17,'AA Exact Masses'!A$3:N$52, 14,FALSE)),"")</f>
        <v>0</v>
      </c>
    </row>
    <row r="10" spans="1:42" x14ac:dyDescent="0.25">
      <c r="A10" s="4">
        <f t="shared" si="0"/>
        <v>6</v>
      </c>
      <c r="B10" s="11" t="str">
        <f>IF('Sequence Calculations'!B18="","",VLOOKUP('Sequence Calculations'!B18,'AA Exact Masses'!$A$3:$E$52,2,FALSE))</f>
        <v>Leu</v>
      </c>
      <c r="C10">
        <f>IF(Y10=TRUE,IF(B10="","",VLOOKUP('Sequence Calculations'!B18, 'AA Exact Masses'!$A$3:$E$52, 3,FALSE)),"")</f>
        <v>113.08405999999999</v>
      </c>
      <c r="D10" s="28" t="s">
        <v>96</v>
      </c>
      <c r="E10">
        <f>IF(Y10=TRUE,IF(B10="","",VLOOKUP('Sequence Calculations'!B18,'AA Exact Masses'!$A$3:$E$52,4,FALSE)),"")</f>
        <v>113.08405999999999</v>
      </c>
      <c r="F10" s="29" t="str">
        <f>IF(ISNA(VLOOKUP(TRUNC($D$5,0),Aggregate!$Z$3:$AB$25,3,FALSE)),IF(ISNA(VLOOKUP(TRUNC($D$5,0),Aggregate!$AC$3:$AE$25,3,FALSE)),IF(ISNA(VLOOKUP(TRUNC($D$5,0),Aggregate!$AF$3:$AH$25,3,FALSE)),IF(ISNA(VLOOKUP(TRUNC($D$5,0),Aggregate!$AI$3:$AK$25,3,FALSE)),"No Match",VLOOKUP(TRUNC($D$5,0),Aggregate!$AI$3:$AK$25,3,FALSE)),VLOOKUP(TRUNC($D$5,0),Aggregate!$AF$3:$AH$25,3,FALSE)),VLOOKUP(TRUNC($D$5,0),Aggregate!$AC$3:$AE$25,3,FALSE)), VLOOKUP(TRUNC($D$5,0),Aggregate!$Z$3:$AB$25,3,FALSE))</f>
        <v>Dimer</v>
      </c>
      <c r="I10" s="4"/>
      <c r="J10" s="33" t="s">
        <v>338</v>
      </c>
      <c r="K10" s="33" t="s">
        <v>340</v>
      </c>
      <c r="L10" s="33" t="s">
        <v>341</v>
      </c>
      <c r="M10" s="33" t="s">
        <v>342</v>
      </c>
      <c r="N10" s="33" t="s">
        <v>343</v>
      </c>
      <c r="O10" s="33" t="s">
        <v>344</v>
      </c>
      <c r="P10" s="33" t="s">
        <v>345</v>
      </c>
      <c r="W10">
        <f>IF(Y10=TRUE,IF(B10="","",VLOOKUP('Sequence Calculations'!B18, 'Molecular Weight'!$A$3:$E$47, 4,FALSE)),0)</f>
        <v>-1.25</v>
      </c>
      <c r="X10">
        <f>IF(Y10=TRUE,IF(B10="","",VLOOKUP('Sequence Calculations'!B18, 'Molecular Weight'!$A$3:$B$47, 2,FALSE)),"")</f>
        <v>113.15831999999999</v>
      </c>
      <c r="Y10" t="b">
        <v>1</v>
      </c>
      <c r="Z10">
        <f>IF(C10="","",VLOOKUP('Sequence Calculations'!B18,'AA Exact Masses'!A$2:F$52,6,FALSE))</f>
        <v>0</v>
      </c>
      <c r="AA10">
        <f>IF(Y10=TRUE,IF(B10="","",VLOOKUP('Sequence Calculations'!B18,'AA Exact Masses'!A$3:N$52, 7,FALSE)),"")</f>
        <v>6</v>
      </c>
      <c r="AB10">
        <f>IF(Y10=TRUE,IF(B10="","",VLOOKUP('Sequence Calculations'!B18,'AA Exact Masses'!A$3:N$52, 8,FALSE)),"")</f>
        <v>11</v>
      </c>
      <c r="AC10">
        <f>IF(Y10=TRUE,IF(B10="","",VLOOKUP('Sequence Calculations'!B18,'AA Exact Masses'!A$3:N$52, 9,FALSE)),"")</f>
        <v>1</v>
      </c>
      <c r="AD10">
        <f>IF(Y10=TRUE,IF(B10="","",VLOOKUP('Sequence Calculations'!B18,'AA Exact Masses'!A$3:N$52, 10,FALSE)),"")</f>
        <v>1</v>
      </c>
      <c r="AE10">
        <f>IF(Y10=TRUE,IF(B10="","",VLOOKUP('Sequence Calculations'!B18,'AA Exact Masses'!A$3:N$52, 11,FALSE)),"")</f>
        <v>0</v>
      </c>
      <c r="AF10">
        <f>IF(Y10=TRUE,IF(B10="","",VLOOKUP('Sequence Calculations'!B18,'AA Exact Masses'!A$3:N$52, 12,FALSE)),"")</f>
        <v>0</v>
      </c>
      <c r="AG10">
        <f>IF(Y10=TRUE,IF(B10="","",VLOOKUP('Sequence Calculations'!B18,'AA Exact Masses'!A$3:N$52, 13,FALSE)),"")</f>
        <v>0</v>
      </c>
      <c r="AH10">
        <f>IF(Y10=TRUE,IF(B10="","",VLOOKUP('Sequence Calculations'!B18,'AA Exact Masses'!A$3:N$52, 14,FALSE)),"")</f>
        <v>0</v>
      </c>
    </row>
    <row r="11" spans="1:42" x14ac:dyDescent="0.25">
      <c r="A11" s="4">
        <f t="shared" si="0"/>
        <v>7</v>
      </c>
      <c r="B11" s="11" t="str">
        <f>IF('Sequence Calculations'!B19="","",VLOOKUP('Sequence Calculations'!B19,'AA Exact Masses'!$A$3:$E$52,2,FALSE))</f>
        <v>Orn(Boc)</v>
      </c>
      <c r="C11">
        <f>IF(Y11=TRUE,IF(B11="","",VLOOKUP('Sequence Calculations'!B19, 'AA Exact Masses'!$A$3:$E$52, 3,FALSE)),"")</f>
        <v>214.13175000000001</v>
      </c>
      <c r="D11" s="28" t="s">
        <v>95</v>
      </c>
      <c r="E11">
        <f>IF(Y11=TRUE,IF(B11="","",VLOOKUP('Sequence Calculations'!B19,'AA Exact Masses'!$A$3:$E$52,4,FALSE)),"")</f>
        <v>114.07932</v>
      </c>
      <c r="F11" s="29" t="str">
        <f>IF(ISNA(VLOOKUP(0,'1st Deletion Fragment'!X5:AH40,11,FALSE)),"No Match",VLOOKUP(0,'1st Deletion Fragment'!X5:AH40,11,FALSE))</f>
        <v>No Match</v>
      </c>
      <c r="G11" s="29" t="str">
        <f>IF(ISNA(HLOOKUP(0,'1st Deletion Fragment'!Y44:AG45,2,FALSE)),"",HLOOKUP(0,'1st Deletion Fragment'!Y44:AG45,2,FALSE))</f>
        <v/>
      </c>
      <c r="I11" s="65" t="s">
        <v>28</v>
      </c>
      <c r="J11" s="30">
        <f>($D$15+3*'AA Exact Masses'!$Q$2)/3</f>
        <v>767.74729333333335</v>
      </c>
      <c r="K11" s="30">
        <f>($D$15+'AA Exact Masses'!$Q$2+2*'AA Exact Masses'!$Q$3)/3</f>
        <v>782.40194666666673</v>
      </c>
      <c r="L11" s="30">
        <f>($D$15+2*'AA Exact Masses'!$Q$2+'AA Exact Masses'!$Q$3)/3</f>
        <v>775.07461999999998</v>
      </c>
      <c r="M11" s="30">
        <f>($D$15+3*'AA Exact Masses'!$Q$3)/3</f>
        <v>789.72927333333337</v>
      </c>
      <c r="N11" s="30">
        <f>($D$15+'AA Exact Masses'!$Q$2+'AA Exact Masses'!$Q$3+'AA Exact Masses'!$Q$4)/3</f>
        <v>787.72658333333322</v>
      </c>
      <c r="O11" s="30">
        <f>($D$15+'AA Exact Masses'!$Q$3+2*'AA Exact Masses'!$Q$4)/3</f>
        <v>800.37854666666669</v>
      </c>
      <c r="P11" s="30">
        <f>($D$15+3*'AA Exact Masses'!$Q$4)/3</f>
        <v>805.70318333333341</v>
      </c>
      <c r="S11" t="s">
        <v>294</v>
      </c>
      <c r="T11" t="s">
        <v>162</v>
      </c>
      <c r="U11" t="s">
        <v>295</v>
      </c>
      <c r="W11" t="e">
        <f>IF(Y11=TRUE,IF(B11="","",VLOOKUP('Sequence Calculations'!B19, 'Molecular Weight'!$A$3:$E$47, 4,FALSE)),0)</f>
        <v>#N/A</v>
      </c>
      <c r="X11" t="e">
        <f>IF(Y11=TRUE,IF(B11="","",VLOOKUP('Sequence Calculations'!B19, 'Molecular Weight'!$A$3:$B$47, 2,FALSE)),"")</f>
        <v>#N/A</v>
      </c>
      <c r="Y11" t="b">
        <v>1</v>
      </c>
      <c r="Z11">
        <f>IF(C11="","",VLOOKUP('Sequence Calculations'!B19,'AA Exact Masses'!A$2:F$52,6,FALSE))</f>
        <v>1</v>
      </c>
      <c r="AA11">
        <f>IF(Y11=TRUE,IF(B11="","",VLOOKUP('Sequence Calculations'!B19,'AA Exact Masses'!A$3:N$52, 7,FALSE)),"")</f>
        <v>5</v>
      </c>
      <c r="AB11">
        <f>IF(Y11=TRUE,IF(B11="","",VLOOKUP('Sequence Calculations'!B19,'AA Exact Masses'!A$3:N$52, 8,FALSE)),"")</f>
        <v>10</v>
      </c>
      <c r="AC11">
        <f>IF(Y11=TRUE,IF(B11="","",VLOOKUP('Sequence Calculations'!B19,'AA Exact Masses'!A$3:N$52, 9,FALSE)),"")</f>
        <v>2</v>
      </c>
      <c r="AD11">
        <f>IF(Y11=TRUE,IF(B11="","",VLOOKUP('Sequence Calculations'!B19,'AA Exact Masses'!A$3:N$52, 10,FALSE)),"")</f>
        <v>1</v>
      </c>
      <c r="AE11">
        <f>IF(Y11=TRUE,IF(B11="","",VLOOKUP('Sequence Calculations'!B19,'AA Exact Masses'!A$3:N$52, 11,FALSE)),"")</f>
        <v>0</v>
      </c>
      <c r="AF11">
        <f>IF(Y11=TRUE,IF(B11="","",VLOOKUP('Sequence Calculations'!B19,'AA Exact Masses'!A$3:N$52, 12,FALSE)),"")</f>
        <v>0</v>
      </c>
      <c r="AG11">
        <f>IF(Y11=TRUE,IF(B11="","",VLOOKUP('Sequence Calculations'!B19,'AA Exact Masses'!A$3:N$52, 13,FALSE)),"")</f>
        <v>0</v>
      </c>
      <c r="AH11">
        <f>IF(Y11=TRUE,IF(B11="","",VLOOKUP('Sequence Calculations'!B19,'AA Exact Masses'!A$3:N$52, 14,FALSE)),"")</f>
        <v>0</v>
      </c>
    </row>
    <row r="12" spans="1:42" x14ac:dyDescent="0.25">
      <c r="A12" s="4">
        <f t="shared" si="0"/>
        <v>8</v>
      </c>
      <c r="B12" s="11" t="str">
        <f>IF('Sequence Calculations'!B20="","",VLOOKUP('Sequence Calculations'!B20,'AA Exact Masses'!$A$3:$E$52,2,FALSE))</f>
        <v>Val</v>
      </c>
      <c r="C12">
        <f>IF(Y12=TRUE,IF(B12="","",VLOOKUP('Sequence Calculations'!B20, 'AA Exact Masses'!$A$3:$E$52, 3,FALSE)),"")</f>
        <v>99.06841</v>
      </c>
      <c r="D12" s="35" t="s">
        <v>101</v>
      </c>
      <c r="E12">
        <f>IF(Y12=TRUE,IF(B12="","",VLOOKUP('Sequence Calculations'!B20,'AA Exact Masses'!$A$3:$E$52,4,FALSE)),"")</f>
        <v>99.06841</v>
      </c>
      <c r="F12" s="36" t="str">
        <f>IF(ISNA(VLOOKUP(0,'Single Addition'!X5:AH42,11,FALSE)),"No Match",VLOOKUP(0,'Single Addition'!X5:AH42,11,FALSE))</f>
        <v>No Match</v>
      </c>
      <c r="G12" s="36" t="str">
        <f>IF(ISNA(HLOOKUP(0,'Single Addition'!Y45:AG46,2,FALSE)),"",HLOOKUP(0,'Single Addition'!Y45:AG46,2,FALSE))</f>
        <v/>
      </c>
      <c r="I12" s="65" t="s">
        <v>491</v>
      </c>
      <c r="J12" s="32">
        <f>($F$15+3*'AA Exact Masses'!$Q$2)/3</f>
        <v>630.31979000000001</v>
      </c>
      <c r="K12" s="32">
        <f>($F$15+'AA Exact Masses'!$Q$2+2*'AA Exact Masses'!$Q$3)/3</f>
        <v>644.97444333333328</v>
      </c>
      <c r="L12" s="32">
        <f>($F$15+2*'AA Exact Masses'!$Q$2+'AA Exact Masses'!$Q$3)/3</f>
        <v>637.64711666666665</v>
      </c>
      <c r="M12" s="32">
        <f>($F$15+3*'AA Exact Masses'!$Q$3)/3</f>
        <v>652.30176999999992</v>
      </c>
      <c r="N12" s="32">
        <f>($F$15+'AA Exact Masses'!$Q$2+'AA Exact Masses'!$Q$3+'AA Exact Masses'!$Q$4)/3</f>
        <v>650.29908</v>
      </c>
      <c r="O12" s="32">
        <f>($F$15+'AA Exact Masses'!$Q$3+2*'AA Exact Masses'!$Q$4)/3</f>
        <v>662.95104333333336</v>
      </c>
      <c r="P12" s="32">
        <f>($F$15+3*'AA Exact Masses'!$Q$4)/3</f>
        <v>668.27567999999997</v>
      </c>
      <c r="S12">
        <v>1.34</v>
      </c>
      <c r="T12">
        <f>(S12/F2)/U12*1000</f>
        <v>3.0278062035304107</v>
      </c>
      <c r="U12">
        <v>0.2</v>
      </c>
      <c r="W12">
        <f>IF(Y12=TRUE,IF(B12="","",VLOOKUP('Sequence Calculations'!B20, 'Molecular Weight'!$A$3:$E$47, 4,FALSE)),0)</f>
        <v>-0.46</v>
      </c>
      <c r="X12">
        <f>IF(Y12=TRUE,IF(B12="","",VLOOKUP('Sequence Calculations'!B20, 'Molecular Weight'!$A$3:$B$47, 2,FALSE)),"")</f>
        <v>99.131619999999998</v>
      </c>
      <c r="Y12" t="b">
        <v>1</v>
      </c>
      <c r="Z12">
        <f>IF(C12="","",VLOOKUP('Sequence Calculations'!B20,'AA Exact Masses'!A$2:F$52,6,FALSE))</f>
        <v>0</v>
      </c>
      <c r="AA12">
        <f>IF(Y12=TRUE,IF(B12="","",VLOOKUP('Sequence Calculations'!B20,'AA Exact Masses'!A$3:N$52, 7,FALSE)),"")</f>
        <v>5</v>
      </c>
      <c r="AB12">
        <f>IF(Y12=TRUE,IF(B12="","",VLOOKUP('Sequence Calculations'!B20,'AA Exact Masses'!A$3:N$52, 8,FALSE)),"")</f>
        <v>9</v>
      </c>
      <c r="AC12">
        <f>IF(Y12=TRUE,IF(B12="","",VLOOKUP('Sequence Calculations'!B20,'AA Exact Masses'!A$3:N$52, 9,FALSE)),"")</f>
        <v>1</v>
      </c>
      <c r="AD12">
        <f>IF(Y12=TRUE,IF(B12="","",VLOOKUP('Sequence Calculations'!B20,'AA Exact Masses'!A$3:N$52, 10,FALSE)),"")</f>
        <v>1</v>
      </c>
      <c r="AE12">
        <f>IF(Y12=TRUE,IF(B12="","",VLOOKUP('Sequence Calculations'!B20,'AA Exact Masses'!A$3:N$52, 11,FALSE)),"")</f>
        <v>0</v>
      </c>
      <c r="AF12">
        <f>IF(Y12=TRUE,IF(B12="","",VLOOKUP('Sequence Calculations'!B20,'AA Exact Masses'!A$3:N$52, 12,FALSE)),"")</f>
        <v>0</v>
      </c>
      <c r="AG12">
        <f>IF(Y12=TRUE,IF(B12="","",VLOOKUP('Sequence Calculations'!B20,'AA Exact Masses'!A$3:N$52, 13,FALSE)),"")</f>
        <v>0</v>
      </c>
      <c r="AH12">
        <f>IF(Y12=TRUE,IF(B12="","",VLOOKUP('Sequence Calculations'!B20,'AA Exact Masses'!A$3:N$52, 14,FALSE)),"")</f>
        <v>0</v>
      </c>
    </row>
    <row r="13" spans="1:42" x14ac:dyDescent="0.25">
      <c r="A13" s="4">
        <f t="shared" si="0"/>
        <v>9</v>
      </c>
      <c r="B13" s="11" t="str">
        <f>IF('Sequence Calculations'!B21="","",VLOOKUP('Sequence Calculations'!B21,'AA Exact Masses'!$A$3:$E$52,2,FALSE))</f>
        <v>Orn(Boc)</v>
      </c>
      <c r="C13">
        <f>IF(Y13=TRUE,IF(B13="","",VLOOKUP('Sequence Calculations'!B21, 'AA Exact Masses'!$A$3:$E$52, 3,FALSE)),"")</f>
        <v>214.13175000000001</v>
      </c>
      <c r="E13">
        <f>IF(Y13=TRUE,IF(B13="","",VLOOKUP('Sequence Calculations'!B21,'AA Exact Masses'!$A$3:$E$52,4,FALSE)),"")</f>
        <v>114.07932</v>
      </c>
      <c r="I13" s="4"/>
      <c r="J13" s="33" t="s">
        <v>346</v>
      </c>
      <c r="K13" s="33" t="s">
        <v>347</v>
      </c>
      <c r="L13" s="33" t="s">
        <v>348</v>
      </c>
      <c r="M13" s="33" t="s">
        <v>349</v>
      </c>
      <c r="N13" s="33" t="s">
        <v>350</v>
      </c>
      <c r="O13" s="31"/>
      <c r="W13">
        <f>IF(Y13=TRUE,IF(B13="","",VLOOKUP('Sequence Calculations'!B21, 'Molecular Weight'!$A$3:$E$47, 4,FALSE)),0)</f>
        <v>1.0728260869565218</v>
      </c>
      <c r="X13">
        <f>IF(Y13=TRUE,IF(B13="","",VLOOKUP('Sequence Calculations'!B21, 'Molecular Weight'!$A$3:$B$47, 2,FALSE)),"")</f>
        <v>114.14471999999999</v>
      </c>
      <c r="Y13" t="b">
        <v>1</v>
      </c>
      <c r="Z13">
        <f>IF(C13="","",VLOOKUP('Sequence Calculations'!B21,'AA Exact Masses'!A$2:F$52,6,FALSE))</f>
        <v>1</v>
      </c>
      <c r="AA13">
        <f>IF(Y13=TRUE,IF(B13="","",VLOOKUP('Sequence Calculations'!B21,'AA Exact Masses'!A$3:N$52, 7,FALSE)),"")</f>
        <v>5</v>
      </c>
      <c r="AB13">
        <f>IF(Y13=TRUE,IF(B13="","",VLOOKUP('Sequence Calculations'!B21,'AA Exact Masses'!A$3:N$52, 8,FALSE)),"")</f>
        <v>10</v>
      </c>
      <c r="AC13">
        <f>IF(Y13=TRUE,IF(B13="","",VLOOKUP('Sequence Calculations'!B21,'AA Exact Masses'!A$3:N$52, 9,FALSE)),"")</f>
        <v>2</v>
      </c>
      <c r="AD13">
        <f>IF(Y13=TRUE,IF(B13="","",VLOOKUP('Sequence Calculations'!B21,'AA Exact Masses'!A$3:N$52, 10,FALSE)),"")</f>
        <v>1</v>
      </c>
      <c r="AE13">
        <f>IF(Y13=TRUE,IF(B13="","",VLOOKUP('Sequence Calculations'!B21,'AA Exact Masses'!A$3:N$52, 11,FALSE)),"")</f>
        <v>0</v>
      </c>
      <c r="AF13">
        <f>IF(Y13=TRUE,IF(B13="","",VLOOKUP('Sequence Calculations'!B21,'AA Exact Masses'!A$3:N$52, 12,FALSE)),"")</f>
        <v>0</v>
      </c>
      <c r="AG13">
        <f>IF(Y13=TRUE,IF(B13="","",VLOOKUP('Sequence Calculations'!B21,'AA Exact Masses'!A$3:N$52, 13,FALSE)),"")</f>
        <v>0</v>
      </c>
      <c r="AH13">
        <f>IF(Y13=TRUE,IF(B13="","",VLOOKUP('Sequence Calculations'!B21,'AA Exact Masses'!A$3:N$52, 14,FALSE)),"")</f>
        <v>0</v>
      </c>
    </row>
    <row r="14" spans="1:42" x14ac:dyDescent="0.25">
      <c r="A14" s="4">
        <f t="shared" si="0"/>
        <v>10</v>
      </c>
      <c r="B14" s="11" t="str">
        <f>IF('Sequence Calculations'!B22="","",VLOOKUP('Sequence Calculations'!B22,'AA Exact Masses'!$A$3:$E$52,2,FALSE))</f>
        <v>Glu(OtBu)</v>
      </c>
      <c r="C14">
        <f>IF(Y14=TRUE,IF(B14="","",VLOOKUP('Sequence Calculations'!B22, 'AA Exact Masses'!$A$3:$E$52, 3,FALSE)),"")</f>
        <v>185.1052</v>
      </c>
      <c r="D14" s="13" t="s">
        <v>14</v>
      </c>
      <c r="E14">
        <f>IF(Y14=TRUE,IF(B14="","",VLOOKUP('Sequence Calculations'!B22,'AA Exact Masses'!$A$3:$E$52,4,FALSE)),"")</f>
        <v>129.04258999999999</v>
      </c>
      <c r="F14" s="13" t="s">
        <v>15</v>
      </c>
      <c r="I14" s="14" t="s">
        <v>28</v>
      </c>
      <c r="J14" s="30">
        <f>($D$15+4*'AA Exact Masses'!$Q$2)/4</f>
        <v>576.06242500000008</v>
      </c>
      <c r="K14" s="30">
        <f>($D$15+3*'AA Exact Masses'!$Q$2+'AA Exact Masses'!$Q$3)/4</f>
        <v>581.55791999999997</v>
      </c>
      <c r="L14" s="30">
        <f>($D$15+2*'AA Exact Masses'!$Q$2+2*'AA Exact Masses'!$Q$3)/4</f>
        <v>587.05341500000009</v>
      </c>
      <c r="M14" s="30">
        <f>($D$15+'AA Exact Masses'!$Q$2+3*'AA Exact Masses'!$Q$3)/4</f>
        <v>592.54890999999998</v>
      </c>
      <c r="N14" s="30">
        <f>($D$15+4*'AA Exact Masses'!$Q$3)/4</f>
        <v>598.04440499999998</v>
      </c>
      <c r="O14" s="31"/>
      <c r="W14">
        <f>IF(Y14=TRUE,IF(B14="","",VLOOKUP('Sequence Calculations'!B22, 'Molecular Weight'!$A$3:$E$47, 4,FALSE)),0)</f>
        <v>3.63</v>
      </c>
      <c r="X14">
        <f>IF(Y14=TRUE,IF(B14="","",VLOOKUP('Sequence Calculations'!B22, 'Molecular Weight'!$A$3:$B$47, 2,FALSE)),"")</f>
        <v>129.11462</v>
      </c>
      <c r="Y14" t="b">
        <v>1</v>
      </c>
      <c r="Z14">
        <f>IF(C14="","",VLOOKUP('Sequence Calculations'!B22,'AA Exact Masses'!A$2:F$52,6,FALSE))</f>
        <v>0</v>
      </c>
      <c r="AA14">
        <f>IF(Y14=TRUE,IF(B14="","",VLOOKUP('Sequence Calculations'!B22,'AA Exact Masses'!A$3:N$52, 7,FALSE)),"")</f>
        <v>5</v>
      </c>
      <c r="AB14">
        <f>IF(Y14=TRUE,IF(B14="","",VLOOKUP('Sequence Calculations'!B22,'AA Exact Masses'!A$3:N$52, 8,FALSE)),"")</f>
        <v>7</v>
      </c>
      <c r="AC14">
        <f>IF(Y14=TRUE,IF(B14="","",VLOOKUP('Sequence Calculations'!B22,'AA Exact Masses'!A$3:N$52, 9,FALSE)),"")</f>
        <v>1</v>
      </c>
      <c r="AD14">
        <f>IF(Y14=TRUE,IF(B14="","",VLOOKUP('Sequence Calculations'!B22,'AA Exact Masses'!A$3:N$52, 10,FALSE)),"")</f>
        <v>3</v>
      </c>
      <c r="AE14">
        <f>IF(Y14=TRUE,IF(B14="","",VLOOKUP('Sequence Calculations'!B22,'AA Exact Masses'!A$3:N$52, 11,FALSE)),"")</f>
        <v>0</v>
      </c>
      <c r="AF14">
        <f>IF(Y14=TRUE,IF(B14="","",VLOOKUP('Sequence Calculations'!B22,'AA Exact Masses'!A$3:N$52, 12,FALSE)),"")</f>
        <v>0</v>
      </c>
      <c r="AG14">
        <f>IF(Y14=TRUE,IF(B14="","",VLOOKUP('Sequence Calculations'!B22,'AA Exact Masses'!A$3:N$52, 13,FALSE)),"")</f>
        <v>0</v>
      </c>
      <c r="AH14">
        <f>IF(Y14=TRUE,IF(B14="","",VLOOKUP('Sequence Calculations'!B22,'AA Exact Masses'!A$3:N$52, 14,FALSE)),"")</f>
        <v>0</v>
      </c>
    </row>
    <row r="15" spans="1:42" x14ac:dyDescent="0.25">
      <c r="A15" s="4">
        <f t="shared" si="0"/>
        <v>11</v>
      </c>
      <c r="B15" s="11" t="str">
        <f>IF('Sequence Calculations'!B23="","",VLOOKUP('Sequence Calculations'!B23,'AA Exact Masses'!$A$3:$E$52,2,FALSE))</f>
        <v>Asp(tBu)</v>
      </c>
      <c r="C15">
        <f>IF(Y15=TRUE,IF(B15="","",VLOOKUP('Sequence Calculations'!B23, 'AA Exact Masses'!$A$3:$E$52, 3,FALSE)),"")</f>
        <v>171.08955</v>
      </c>
      <c r="D15" s="30">
        <f>IF(H5="No", (IF(D8="Rink", (SUM(C5:C62)+17.02655), IF(D8="N-Me Amide", (SUM(C5:C62)+31.0422), (SUM(C5:C62)+18.01056)))), IF(H6="Yes", ((IF(D8="Rink", (SUM(C5:C62)+17.02655), IF(D8="N-Me Amide", (SUM(C5:C62)+31.0422), (SUM(C5:C62)+18.01056))))*2-2*H7),(IF(D8="Rink", (SUM(C5:C62)+17.02655), IF(D8="N-Me Amide", (SUM(C5:C62)+31.0422), (SUM(C5:C62)+18.01056))))-2*H7))</f>
        <v>2300.2184200000002</v>
      </c>
      <c r="E15">
        <f>IF(Y15=TRUE,IF(B15="","",VLOOKUP('Sequence Calculations'!B23,'AA Exact Masses'!$A$3:$E$52,4,FALSE)),"")</f>
        <v>115.02694</v>
      </c>
      <c r="F15" s="32">
        <f>IF(H5="No", (IF(D8="Rink", (SUM(E5:E62)+17.02655), IF(D8="N-Me Amide", (SUM(E5:E62)+31.0422), (SUM(E5:E62)+18.01056)))), IF(H6="Yes", ((IF(D8="Rink", (SUM(E5:E62)+17.02655), IF(D8="N-Me Amide", (SUM(E5:E62)+31.0422), (SUM(E5:E62)+18.01056))))*2-2*H7),(IF(D8="Rink", (SUM(E5:E62)+17.02655), IF(D8="N-Me Amide", (SUM(E5:E62)+31.0422), (SUM(E5:E62)+18.01056))))-2*H7))</f>
        <v>1887.9359099999999</v>
      </c>
      <c r="I15" s="14" t="s">
        <v>491</v>
      </c>
      <c r="J15" s="32">
        <f>($F$15+4*'AA Exact Masses'!$Q$2)/4</f>
        <v>472.99179749999996</v>
      </c>
      <c r="K15" s="32">
        <f>($F$15+3*'AA Exact Masses'!$Q$2+'AA Exact Masses'!$Q$3)/4</f>
        <v>478.48729250000002</v>
      </c>
      <c r="L15" s="32">
        <f>($F$15+2*'AA Exact Masses'!$Q$2+2*'AA Exact Masses'!$Q$3)/4</f>
        <v>483.98278749999997</v>
      </c>
      <c r="M15" s="32">
        <f>($F$15+'AA Exact Masses'!$Q$2+3*'AA Exact Masses'!$Q$3)/4</f>
        <v>489.47828249999998</v>
      </c>
      <c r="N15" s="32">
        <f>($F$15+4*'AA Exact Masses'!$Q$3)/4</f>
        <v>494.97377749999998</v>
      </c>
      <c r="O15" s="31"/>
      <c r="W15">
        <f>IF(Y15=TRUE,IF(B15="","",VLOOKUP('Sequence Calculations'!B23, 'Molecular Weight'!$A$3:$E$47, 4,FALSE)),0)</f>
        <v>3.64</v>
      </c>
      <c r="X15">
        <f>IF(Y15=TRUE,IF(B15="","",VLOOKUP('Sequence Calculations'!B23, 'Molecular Weight'!$A$3:$B$47, 2,FALSE)),"")</f>
        <v>115.08791999999998</v>
      </c>
      <c r="Y15" t="b">
        <v>1</v>
      </c>
      <c r="Z15">
        <f>IF(C15="","",VLOOKUP('Sequence Calculations'!B23,'AA Exact Masses'!A$2:F$52,6,FALSE))</f>
        <v>0</v>
      </c>
      <c r="AA15">
        <f>IF(Y15=TRUE,IF(B15="","",VLOOKUP('Sequence Calculations'!B23,'AA Exact Masses'!A$3:N$52, 7,FALSE)),"")</f>
        <v>4</v>
      </c>
      <c r="AB15">
        <f>IF(Y15=TRUE,IF(B15="","",VLOOKUP('Sequence Calculations'!B23,'AA Exact Masses'!A$3:N$52, 8,FALSE)),"")</f>
        <v>5</v>
      </c>
      <c r="AC15">
        <f>IF(Y15=TRUE,IF(B15="","",VLOOKUP('Sequence Calculations'!B23,'AA Exact Masses'!A$3:N$52, 9,FALSE)),"")</f>
        <v>1</v>
      </c>
      <c r="AD15">
        <f>IF(Y15=TRUE,IF(B15="","",VLOOKUP('Sequence Calculations'!B23,'AA Exact Masses'!A$3:N$52, 10,FALSE)),"")</f>
        <v>3</v>
      </c>
      <c r="AE15">
        <f>IF(Y15=TRUE,IF(B15="","",VLOOKUP('Sequence Calculations'!B23,'AA Exact Masses'!A$3:N$52, 11,FALSE)),"")</f>
        <v>0</v>
      </c>
      <c r="AF15">
        <f>IF(Y15=TRUE,IF(B15="","",VLOOKUP('Sequence Calculations'!B23,'AA Exact Masses'!A$3:N$52, 12,FALSE)),"")</f>
        <v>0</v>
      </c>
      <c r="AG15">
        <f>IF(Y15=TRUE,IF(B15="","",VLOOKUP('Sequence Calculations'!B23,'AA Exact Masses'!A$3:N$52, 13,FALSE)),"")</f>
        <v>0</v>
      </c>
      <c r="AH15">
        <f>IF(Y15=TRUE,IF(B15="","",VLOOKUP('Sequence Calculations'!B23,'AA Exact Masses'!A$3:N$52, 14,FALSE)),"")</f>
        <v>0</v>
      </c>
    </row>
    <row r="16" spans="1:42" x14ac:dyDescent="0.25">
      <c r="A16" s="4">
        <f t="shared" si="0"/>
        <v>12</v>
      </c>
      <c r="B16" s="11" t="str">
        <f>IF('Sequence Calculations'!B24="","",VLOOKUP('Sequence Calculations'!B24,'AA Exact Masses'!$A$3:$E$52,2,FALSE))</f>
        <v>Ala</v>
      </c>
      <c r="C16">
        <f>IF(Y16=TRUE,IF(B16="","",VLOOKUP('Sequence Calculations'!B24, 'AA Exact Masses'!$A$3:$E$52, 3,FALSE)),"")</f>
        <v>71.037109999999998</v>
      </c>
      <c r="E16">
        <f>IF(Y16=TRUE,IF(B16="","",VLOOKUP('Sequence Calculations'!B24,'AA Exact Masses'!$A$3:$E$52,4,FALSE)),"")</f>
        <v>71.037109999999998</v>
      </c>
      <c r="I16" s="4"/>
      <c r="J16" s="33" t="s">
        <v>351</v>
      </c>
      <c r="K16" s="33" t="s">
        <v>352</v>
      </c>
      <c r="L16" s="33" t="s">
        <v>353</v>
      </c>
      <c r="M16" s="33" t="s">
        <v>354</v>
      </c>
      <c r="N16" s="33" t="s">
        <v>355</v>
      </c>
      <c r="O16" s="33" t="s">
        <v>356</v>
      </c>
      <c r="W16">
        <f>IF(Y16=TRUE,IF(B16="","",VLOOKUP('Sequence Calculations'!B24, 'Molecular Weight'!$A$3:$E$47, 4,FALSE)),0)</f>
        <v>0.5</v>
      </c>
      <c r="X16">
        <f>IF(Y16=TRUE,IF(B16="","",VLOOKUP('Sequence Calculations'!B24, 'Molecular Weight'!$A$3:$B$47, 2,FALSE)),"")</f>
        <v>71.078220000000002</v>
      </c>
      <c r="Y16" t="b">
        <v>1</v>
      </c>
      <c r="Z16">
        <f>IF(C16="","",VLOOKUP('Sequence Calculations'!B24,'AA Exact Masses'!A$2:F$52,6,FALSE))</f>
        <v>0</v>
      </c>
      <c r="AA16">
        <f>IF(Y16=TRUE,IF(B16="","",VLOOKUP('Sequence Calculations'!B24,'AA Exact Masses'!A$3:N$52, 7,FALSE)),"")</f>
        <v>3</v>
      </c>
      <c r="AB16">
        <f>IF(Y16=TRUE,IF(B16="","",VLOOKUP('Sequence Calculations'!B24,'AA Exact Masses'!A$3:N$52, 8,FALSE)),"")</f>
        <v>5</v>
      </c>
      <c r="AC16">
        <f>IF(Y16=TRUE,IF(B16="","",VLOOKUP('Sequence Calculations'!B24,'AA Exact Masses'!A$3:N$52, 9,FALSE)),"")</f>
        <v>1</v>
      </c>
      <c r="AD16">
        <f>IF(Y16=TRUE,IF(B16="","",VLOOKUP('Sequence Calculations'!B24,'AA Exact Masses'!A$3:N$52, 10,FALSE)),"")</f>
        <v>1</v>
      </c>
      <c r="AE16">
        <f>IF(Y16=TRUE,IF(B16="","",VLOOKUP('Sequence Calculations'!B24,'AA Exact Masses'!A$3:N$52, 11,FALSE)),"")</f>
        <v>0</v>
      </c>
      <c r="AF16">
        <f>IF(Y16=TRUE,IF(B16="","",VLOOKUP('Sequence Calculations'!B24,'AA Exact Masses'!A$3:N$52, 12,FALSE)),"")</f>
        <v>0</v>
      </c>
      <c r="AG16">
        <f>IF(Y16=TRUE,IF(B16="","",VLOOKUP('Sequence Calculations'!B24,'AA Exact Masses'!A$3:N$52, 13,FALSE)),"")</f>
        <v>0</v>
      </c>
      <c r="AH16">
        <f>IF(Y16=TRUE,IF(B16="","",VLOOKUP('Sequence Calculations'!B24,'AA Exact Masses'!A$3:N$52, 14,FALSE)),"")</f>
        <v>0</v>
      </c>
    </row>
    <row r="17" spans="1:34" x14ac:dyDescent="0.25">
      <c r="A17" s="4">
        <f t="shared" si="0"/>
        <v>13</v>
      </c>
      <c r="B17" s="11" t="str">
        <f>IF('Sequence Calculations'!B25="","",VLOOKUP('Sequence Calculations'!B25,'AA Exact Masses'!$A$3:$E$52,2,FALSE))</f>
        <v>Phe</v>
      </c>
      <c r="C17">
        <f>IF(Y17=TRUE,IF(B17="","",VLOOKUP('Sequence Calculations'!B25, 'AA Exact Masses'!$A$3:$E$52, 3,FALSE)),"")</f>
        <v>147.06841</v>
      </c>
      <c r="D17" s="13" t="s">
        <v>45</v>
      </c>
      <c r="E17">
        <f>IF(Y17=TRUE,IF(B17="","",VLOOKUP('Sequence Calculations'!B25,'AA Exact Masses'!$A$3:$E$52,4,FALSE)),"")</f>
        <v>147.06841</v>
      </c>
      <c r="F17" s="13" t="s">
        <v>46</v>
      </c>
      <c r="I17" s="14" t="s">
        <v>28</v>
      </c>
      <c r="J17" s="30">
        <f>($D$15+5*'AA Exact Masses'!$Q$2)/5</f>
        <v>461.05150400000002</v>
      </c>
      <c r="K17" s="30">
        <f>($D$15+4*'AA Exact Masses'!$Q$2+'AA Exact Masses'!$Q$3)/5</f>
        <v>465.4479</v>
      </c>
      <c r="L17" s="30">
        <f>($D$15+3*'AA Exact Masses'!$Q$2+2*'AA Exact Masses'!$Q$3)/5</f>
        <v>469.84429600000004</v>
      </c>
      <c r="M17" s="30">
        <f>($D$15+2*'AA Exact Masses'!$Q$2+3*'AA Exact Masses'!$Q$3)/5</f>
        <v>474.24069200000002</v>
      </c>
      <c r="N17" s="30">
        <f>($D$15+'AA Exact Masses'!$Q$2+4*'AA Exact Masses'!$Q$3)/5</f>
        <v>478.63708799999995</v>
      </c>
      <c r="O17" s="30">
        <f>($D$15+5*'AA Exact Masses'!$Q$3)/5</f>
        <v>483.03348400000004</v>
      </c>
      <c r="W17">
        <f>IF(Y17=TRUE,IF(B17="","",VLOOKUP('Sequence Calculations'!B25, 'Molecular Weight'!$A$3:$E$47, 4,FALSE)),0)</f>
        <v>-1.71</v>
      </c>
      <c r="X17">
        <f>IF(Y17=TRUE,IF(B17="","",VLOOKUP('Sequence Calculations'!B25, 'Molecular Weight'!$A$3:$B$47, 2,FALSE)),"")</f>
        <v>147.17472000000001</v>
      </c>
      <c r="Y17" t="b">
        <v>1</v>
      </c>
      <c r="Z17">
        <f>IF(C17="","",VLOOKUP('Sequence Calculations'!B25,'AA Exact Masses'!A$2:F$52,6,FALSE))</f>
        <v>0</v>
      </c>
      <c r="AA17">
        <f>IF(Y17=TRUE,IF(B17="","",VLOOKUP('Sequence Calculations'!B25,'AA Exact Masses'!A$3:N$52, 7,FALSE)),"")</f>
        <v>9</v>
      </c>
      <c r="AB17">
        <f>IF(Y17=TRUE,IF(B17="","",VLOOKUP('Sequence Calculations'!B25,'AA Exact Masses'!A$3:N$52, 8,FALSE)),"")</f>
        <v>9</v>
      </c>
      <c r="AC17">
        <f>IF(Y17=TRUE,IF(B17="","",VLOOKUP('Sequence Calculations'!B25,'AA Exact Masses'!A$3:N$52, 9,FALSE)),"")</f>
        <v>1</v>
      </c>
      <c r="AD17">
        <f>IF(Y17=TRUE,IF(B17="","",VLOOKUP('Sequence Calculations'!B25,'AA Exact Masses'!A$3:N$52, 10,FALSE)),"")</f>
        <v>1</v>
      </c>
      <c r="AE17">
        <f>IF(Y17=TRUE,IF(B17="","",VLOOKUP('Sequence Calculations'!B25,'AA Exact Masses'!A$3:N$52, 11,FALSE)),"")</f>
        <v>0</v>
      </c>
      <c r="AF17">
        <f>IF(Y17=TRUE,IF(B17="","",VLOOKUP('Sequence Calculations'!B25,'AA Exact Masses'!A$3:N$52, 12,FALSE)),"")</f>
        <v>0</v>
      </c>
      <c r="AG17">
        <f>IF(Y17=TRUE,IF(B17="","",VLOOKUP('Sequence Calculations'!B25,'AA Exact Masses'!A$3:N$52, 13,FALSE)),"")</f>
        <v>0</v>
      </c>
      <c r="AH17">
        <f>IF(Y17=TRUE,IF(B17="","",VLOOKUP('Sequence Calculations'!B25,'AA Exact Masses'!A$3:N$52, 14,FALSE)),"")</f>
        <v>0</v>
      </c>
    </row>
    <row r="18" spans="1:34" x14ac:dyDescent="0.25">
      <c r="A18" s="4">
        <f t="shared" si="0"/>
        <v>14</v>
      </c>
      <c r="B18" s="11" t="str">
        <f>IF('Sequence Calculations'!B26="","",VLOOKUP('Sequence Calculations'!B26,'AA Exact Masses'!$A$3:$E$52,2,FALSE))</f>
        <v>Phe-I</v>
      </c>
      <c r="C18">
        <f>IF(Y18=TRUE,IF(B18="","",VLOOKUP('Sequence Calculations'!B26, 'AA Exact Masses'!$A$3:$E$52, 3,FALSE)),"")</f>
        <v>272.96505999999999</v>
      </c>
      <c r="D18" s="30">
        <f>IF(H6="Yes", D15-(18.01056*2), D15-18.01056)</f>
        <v>2282.20786</v>
      </c>
      <c r="E18">
        <f>IF(Y18=TRUE,IF(B18="","",VLOOKUP('Sequence Calculations'!B26,'AA Exact Masses'!$A$3:$E$52,4,FALSE)),"")</f>
        <v>272.96505999999999</v>
      </c>
      <c r="F18" s="32">
        <f>IF(H6="Yes", F15-(18.01056*2), F15-18.01056)</f>
        <v>1869.92535</v>
      </c>
      <c r="I18" s="14" t="s">
        <v>491</v>
      </c>
      <c r="J18" s="32">
        <f>($F$15+5*'AA Exact Masses'!$Q$2)/5</f>
        <v>378.59500199999997</v>
      </c>
      <c r="K18" s="32">
        <f>($F$15+4*'AA Exact Masses'!$Q$2+'AA Exact Masses'!$Q$3)/5</f>
        <v>382.991398</v>
      </c>
      <c r="L18" s="32">
        <f>($F$15+3*'AA Exact Masses'!$Q$2+2*'AA Exact Masses'!$Q$3)/5</f>
        <v>387.38779399999999</v>
      </c>
      <c r="M18" s="32">
        <f>($F$15+2*'AA Exact Masses'!$Q$2+3*'AA Exact Masses'!$Q$3)/5</f>
        <v>391.78418999999997</v>
      </c>
      <c r="N18" s="32">
        <f>($F$15+'AA Exact Masses'!$Q$2+4*'AA Exact Masses'!$Q$3)/5</f>
        <v>396.18058600000001</v>
      </c>
      <c r="O18" s="32">
        <f>($F$15+5*'AA Exact Masses'!$Q$3)/5</f>
        <v>400.57698199999999</v>
      </c>
      <c r="W18">
        <f>IF(Y18=TRUE,IF(B18="","",VLOOKUP('Sequence Calculations'!B26, 'Molecular Weight'!$A$3:$E$47, 4,FALSE)),0)</f>
        <v>-3.4516304347826088</v>
      </c>
      <c r="X18">
        <f>IF(Y18=TRUE,IF(B18="","",VLOOKUP('Sequence Calculations'!B26, 'Molecular Weight'!$A$3:$B$47, 2,FALSE)),"")</f>
        <v>273.06471999999997</v>
      </c>
      <c r="Y18" t="b">
        <v>1</v>
      </c>
      <c r="Z18">
        <f>IF(C18="","",VLOOKUP('Sequence Calculations'!B26,'AA Exact Masses'!A$2:F$52,6,FALSE))</f>
        <v>0</v>
      </c>
      <c r="AA18">
        <f>IF(Y18=TRUE,IF(B18="","",VLOOKUP('Sequence Calculations'!B26,'AA Exact Masses'!A$3:N$52, 7,FALSE)),"")</f>
        <v>9</v>
      </c>
      <c r="AB18">
        <f>IF(Y18=TRUE,IF(B18="","",VLOOKUP('Sequence Calculations'!B26,'AA Exact Masses'!A$3:N$52, 8,FALSE)),"")</f>
        <v>8</v>
      </c>
      <c r="AC18">
        <f>IF(Y18=TRUE,IF(B18="","",VLOOKUP('Sequence Calculations'!B26,'AA Exact Masses'!A$3:N$52, 9,FALSE)),"")</f>
        <v>1</v>
      </c>
      <c r="AD18">
        <f>IF(Y18=TRUE,IF(B18="","",VLOOKUP('Sequence Calculations'!B26,'AA Exact Masses'!A$3:N$52, 10,FALSE)),"")</f>
        <v>1</v>
      </c>
      <c r="AE18">
        <f>IF(Y18=TRUE,IF(B18="","",VLOOKUP('Sequence Calculations'!B26,'AA Exact Masses'!A$3:N$52, 11,FALSE)),"")</f>
        <v>0</v>
      </c>
      <c r="AF18">
        <f>IF(Y18=TRUE,IF(B18="","",VLOOKUP('Sequence Calculations'!B26,'AA Exact Masses'!A$3:N$52, 12,FALSE)),"")</f>
        <v>0</v>
      </c>
      <c r="AG18">
        <f>IF(Y18=TRUE,IF(B18="","",VLOOKUP('Sequence Calculations'!B26,'AA Exact Masses'!A$3:N$52, 13,FALSE)),"")</f>
        <v>1</v>
      </c>
      <c r="AH18">
        <f>IF(Y18=TRUE,IF(B18="","",VLOOKUP('Sequence Calculations'!B26,'AA Exact Masses'!A$3:N$52, 14,FALSE)),"")</f>
        <v>0</v>
      </c>
    </row>
    <row r="19" spans="1:34" x14ac:dyDescent="0.25">
      <c r="A19" s="4">
        <f t="shared" si="0"/>
        <v>15</v>
      </c>
      <c r="B19" s="11" t="str">
        <f>IF('Sequence Calculations'!B27="","",VLOOKUP('Sequence Calculations'!B27,'AA Exact Masses'!$A$3:$E$52,2,FALSE))</f>
        <v>Val</v>
      </c>
      <c r="C19">
        <f>IF(Y19=TRUE,IF(B19="","",VLOOKUP('Sequence Calculations'!B27, 'AA Exact Masses'!$A$3:$E$52, 3,FALSE)),"")</f>
        <v>99.06841</v>
      </c>
      <c r="E19">
        <f>IF(Y19=TRUE,IF(B19="","",VLOOKUP('Sequence Calculations'!B27,'AA Exact Masses'!$A$3:$E$52,4,FALSE)),"")</f>
        <v>99.06841</v>
      </c>
      <c r="J19" s="31"/>
      <c r="K19" s="31"/>
      <c r="L19" s="31"/>
      <c r="M19" s="31"/>
      <c r="N19" s="31"/>
      <c r="O19" s="31"/>
      <c r="W19">
        <f>IF(Y19=TRUE,IF(B19="","",VLOOKUP('Sequence Calculations'!B27, 'Molecular Weight'!$A$3:$E$47, 4,FALSE)),0)</f>
        <v>-0.46</v>
      </c>
      <c r="X19">
        <f>IF(Y19=TRUE,IF(B19="","",VLOOKUP('Sequence Calculations'!B27, 'Molecular Weight'!$A$3:$B$47, 2,FALSE)),"")</f>
        <v>99.131619999999998</v>
      </c>
      <c r="Y19" t="b">
        <v>1</v>
      </c>
      <c r="Z19">
        <f>IF(C19="","",VLOOKUP('Sequence Calculations'!B27,'AA Exact Masses'!A$2:F$52,6,FALSE))</f>
        <v>0</v>
      </c>
      <c r="AA19">
        <f>IF(Y19=TRUE,IF(B19="","",VLOOKUP('Sequence Calculations'!B27,'AA Exact Masses'!A$3:N$52, 7,FALSE)),"")</f>
        <v>5</v>
      </c>
      <c r="AB19">
        <f>IF(Y19=TRUE,IF(B19="","",VLOOKUP('Sequence Calculations'!B27,'AA Exact Masses'!A$3:N$52, 8,FALSE)),"")</f>
        <v>9</v>
      </c>
      <c r="AC19">
        <f>IF(Y19=TRUE,IF(B19="","",VLOOKUP('Sequence Calculations'!B27,'AA Exact Masses'!A$3:N$52, 9,FALSE)),"")</f>
        <v>1</v>
      </c>
      <c r="AD19">
        <f>IF(Y19=TRUE,IF(B19="","",VLOOKUP('Sequence Calculations'!B27,'AA Exact Masses'!A$3:N$52, 10,FALSE)),"")</f>
        <v>1</v>
      </c>
      <c r="AE19">
        <f>IF(Y19=TRUE,IF(B19="","",VLOOKUP('Sequence Calculations'!B27,'AA Exact Masses'!A$3:N$52, 11,FALSE)),"")</f>
        <v>0</v>
      </c>
      <c r="AF19">
        <f>IF(Y19=TRUE,IF(B19="","",VLOOKUP('Sequence Calculations'!B27,'AA Exact Masses'!A$3:N$52, 12,FALSE)),"")</f>
        <v>0</v>
      </c>
      <c r="AG19">
        <f>IF(Y19=TRUE,IF(B19="","",VLOOKUP('Sequence Calculations'!B27,'AA Exact Masses'!A$3:N$52, 13,FALSE)),"")</f>
        <v>0</v>
      </c>
      <c r="AH19">
        <f>IF(Y19=TRUE,IF(B19="","",VLOOKUP('Sequence Calculations'!B27,'AA Exact Masses'!A$3:N$52, 14,FALSE)),"")</f>
        <v>0</v>
      </c>
    </row>
    <row r="20" spans="1:34" x14ac:dyDescent="0.25">
      <c r="A20" s="4">
        <f t="shared" si="0"/>
        <v>16</v>
      </c>
      <c r="B20" s="11" t="str">
        <f>IF('Sequence Calculations'!B28="","",VLOOKUP('Sequence Calculations'!B28,'AA Exact Masses'!$A$3:$E$52,2,FALSE))</f>
        <v>Leu</v>
      </c>
      <c r="C20">
        <f>IF(Y20=TRUE,IF(B20="","",VLOOKUP('Sequence Calculations'!B28, 'AA Exact Masses'!$A$3:$E$52, 3,FALSE)),"")</f>
        <v>113.08405999999999</v>
      </c>
      <c r="E20">
        <f>IF(Y20=TRUE,IF(B20="","",VLOOKUP('Sequence Calculations'!B28,'AA Exact Masses'!$A$3:$E$52,4,FALSE)),"")</f>
        <v>113.08405999999999</v>
      </c>
      <c r="F20" s="4" t="s">
        <v>54</v>
      </c>
      <c r="J20" s="31"/>
      <c r="K20" s="31"/>
      <c r="L20" s="31"/>
      <c r="M20" s="31"/>
      <c r="N20" s="31"/>
      <c r="O20" s="31"/>
      <c r="W20">
        <f>IF(Y20=TRUE,IF(B20="","",VLOOKUP('Sequence Calculations'!B28, 'Molecular Weight'!$A$3:$E$47, 4,FALSE)),0)</f>
        <v>-1.25</v>
      </c>
      <c r="X20">
        <f>IF(Y20=TRUE,IF(B20="","",VLOOKUP('Sequence Calculations'!B28, 'Molecular Weight'!$A$3:$B$47, 2,FALSE)),"")</f>
        <v>113.15831999999999</v>
      </c>
      <c r="Y20" t="b">
        <v>1</v>
      </c>
      <c r="Z20">
        <f>IF(C20="","",VLOOKUP('Sequence Calculations'!B28,'AA Exact Masses'!A$2:F$52,6,FALSE))</f>
        <v>0</v>
      </c>
      <c r="AA20">
        <f>IF(Y20=TRUE,IF(B20="","",VLOOKUP('Sequence Calculations'!B28,'AA Exact Masses'!A$3:N$52, 7,FALSE)),"")</f>
        <v>6</v>
      </c>
      <c r="AB20">
        <f>IF(Y20=TRUE,IF(B20="","",VLOOKUP('Sequence Calculations'!B28,'AA Exact Masses'!A$3:N$52, 8,FALSE)),"")</f>
        <v>11</v>
      </c>
      <c r="AC20">
        <f>IF(Y20=TRUE,IF(B20="","",VLOOKUP('Sequence Calculations'!B28,'AA Exact Masses'!A$3:N$52, 9,FALSE)),"")</f>
        <v>1</v>
      </c>
      <c r="AD20">
        <f>IF(Y20=TRUE,IF(B20="","",VLOOKUP('Sequence Calculations'!B28,'AA Exact Masses'!A$3:N$52, 10,FALSE)),"")</f>
        <v>1</v>
      </c>
      <c r="AE20">
        <f>IF(Y20=TRUE,IF(B20="","",VLOOKUP('Sequence Calculations'!B28,'AA Exact Masses'!A$3:N$52, 11,FALSE)),"")</f>
        <v>0</v>
      </c>
      <c r="AF20">
        <f>IF(Y20=TRUE,IF(B20="","",VLOOKUP('Sequence Calculations'!B28,'AA Exact Masses'!A$3:N$52, 12,FALSE)),"")</f>
        <v>0</v>
      </c>
      <c r="AG20">
        <f>IF(Y20=TRUE,IF(B20="","",VLOOKUP('Sequence Calculations'!B28,'AA Exact Masses'!A$3:N$52, 13,FALSE)),"")</f>
        <v>0</v>
      </c>
      <c r="AH20">
        <f>IF(Y20=TRUE,IF(B20="","",VLOOKUP('Sequence Calculations'!B28,'AA Exact Masses'!A$3:N$52, 14,FALSE)),"")</f>
        <v>0</v>
      </c>
    </row>
    <row r="21" spans="1:34" x14ac:dyDescent="0.25">
      <c r="A21" s="4" t="str">
        <f t="shared" si="0"/>
        <v/>
      </c>
      <c r="B21" s="11" t="str">
        <f>IF('Sequence Calculations'!B29="","",VLOOKUP('Sequence Calculations'!B29,'AA Exact Masses'!$A$3:$E$52,2,FALSE))</f>
        <v/>
      </c>
      <c r="C21" t="str">
        <f>IF(Y21=TRUE,IF(B21="","",VLOOKUP('Sequence Calculations'!B29, 'AA Exact Masses'!$A$3:$E$52, 3,FALSE)),"")</f>
        <v/>
      </c>
      <c r="D21" s="14" t="s">
        <v>28</v>
      </c>
      <c r="E21" t="str">
        <f>IF(Y21=TRUE,IF(B21="","",VLOOKUP('Sequence Calculations'!B29,'AA Exact Masses'!$A$3:$E$52,4,FALSE)),"")</f>
        <v/>
      </c>
      <c r="F21" s="15" t="str">
        <f>IF(D87=FLOOR(J5,1),J4,IF(D87=FLOOR(K5,1),K4,IF(D87=FLOOR(L5,1),L4,IF(D87=FLOOR(J8,1),J7,IF(D87=FLOOR(K8,1),K7,IF(D87=FLOOR(L8,1),L7,IF(D87=FLOOR(M8,1),M7,IF(D87=FLOOR(N8,1),N7,IF(D87=FLOOR(O8,1),O7,IF(D87=FLOOR(J11,1),J10,IF(D87=FLOOR(K11,1),K10,IF(D87=FLOOR(L11,1),L10,IF(D87=FLOOR(J14,1),J13,IF(D87=FLOOR(K14,1),K13,IF(D87=FLOOR(L14,1),L13,IF(D87=FLOOR(M14,1),M13,IF(D87=FLOOR(N14,1),N13,IF(D87=FLOOR(J17,1),J16,IF(D87=FLOOR(K17,1),K16,IF(D87=FLOOR(L17,1),L16,IF(D87=FLOOR(M17,1),M16,IF(D87=FLOOR(N17,1),N16,IF(D87=FLOOR(O17,1),O16,"No M+")))))))))))))))))))))))</f>
        <v>No M+</v>
      </c>
      <c r="J21" s="31"/>
      <c r="K21" s="34" t="s">
        <v>48</v>
      </c>
      <c r="L21" s="31"/>
      <c r="M21" s="31"/>
      <c r="N21" s="31"/>
      <c r="O21" s="31"/>
      <c r="W21">
        <f>IF(Y21=TRUE,IF(B21="","",VLOOKUP('Sequence Calculations'!B29, 'Molecular Weight'!$A$3:$E$47, 4,FALSE)),0)</f>
        <v>0</v>
      </c>
      <c r="X21" t="str">
        <f>IF(Y21=TRUE,IF(B21="","",VLOOKUP('Sequence Calculations'!B29, 'Molecular Weight'!$A$3:$B$47, 2,FALSE)),"")</f>
        <v/>
      </c>
      <c r="Y21" t="b">
        <v>0</v>
      </c>
      <c r="Z21" t="str">
        <f>IF(C21="","",VLOOKUP('Sequence Calculations'!B29,'AA Exact Masses'!A$2:F$52,6,FALSE))</f>
        <v/>
      </c>
      <c r="AA21" t="str">
        <f>IF(Y21=TRUE,IF(B21="","",VLOOKUP('Sequence Calculations'!B29,'AA Exact Masses'!A$3:N$52, 7,FALSE)),"")</f>
        <v/>
      </c>
      <c r="AB21" t="str">
        <f>IF(Y21=TRUE,IF(B21="","",VLOOKUP('Sequence Calculations'!B29,'AA Exact Masses'!A$3:N$52, 8,FALSE)),"")</f>
        <v/>
      </c>
      <c r="AC21" t="str">
        <f>IF(Y21=TRUE,IF(B21="","",VLOOKUP('Sequence Calculations'!B29,'AA Exact Masses'!A$3:N$52, 9,FALSE)),"")</f>
        <v/>
      </c>
      <c r="AD21" t="str">
        <f>IF(Y21=TRUE,IF(B21="","",VLOOKUP('Sequence Calculations'!B29,'AA Exact Masses'!A$3:N$52, 10,FALSE)),"")</f>
        <v/>
      </c>
      <c r="AE21" t="str">
        <f>IF(Y21=TRUE,IF(B21="","",VLOOKUP('Sequence Calculations'!B29,'AA Exact Masses'!A$3:N$52, 11,FALSE)),"")</f>
        <v/>
      </c>
      <c r="AF21" t="str">
        <f>IF(Y21=TRUE,IF(B21="","",VLOOKUP('Sequence Calculations'!B29,'AA Exact Masses'!A$3:N$52, 12,FALSE)),"")</f>
        <v/>
      </c>
      <c r="AG21" t="str">
        <f>IF(Y21=TRUE,IF(B21="","",VLOOKUP('Sequence Calculations'!B29,'AA Exact Masses'!A$3:N$52, 13,FALSE)),"")</f>
        <v/>
      </c>
      <c r="AH21" t="str">
        <f>IF(Y21=TRUE,IF(B21="","",VLOOKUP('Sequence Calculations'!B29,'AA Exact Masses'!A$3:N$52, 14,FALSE)),"")</f>
        <v/>
      </c>
    </row>
    <row r="22" spans="1:34" x14ac:dyDescent="0.25">
      <c r="A22" s="4" t="e">
        <f t="shared" si="0"/>
        <v>#VALUE!</v>
      </c>
      <c r="B22" s="11" t="str">
        <f>IF('Sequence Calculations'!B30="","",VLOOKUP('Sequence Calculations'!B30,'AA Exact Masses'!$A$3:$E$52,2,FALSE))</f>
        <v>HOAt</v>
      </c>
      <c r="C22" t="str">
        <f>IF(Y22=TRUE,IF(B22="","",VLOOKUP('Sequence Calculations'!B30, 'AA Exact Masses'!$A$3:$E$52, 3,FALSE)),"")</f>
        <v/>
      </c>
      <c r="D22" s="14" t="s">
        <v>491</v>
      </c>
      <c r="E22" t="str">
        <f>IF(Y22=TRUE,IF(B22="","",VLOOKUP('Sequence Calculations'!B30,'AA Exact Masses'!$A$3:$E$52,4,FALSE)),"")</f>
        <v/>
      </c>
      <c r="F22" s="15" t="str">
        <f>IF(D88=FLOOR(J6,1),J4,IF(D88=FLOOR(K6,1),K4,IF(D88=FLOOR(L6,1),L4,IF(D88=FLOOR(J9,1),J7,IF(D88=FLOOR(K9,1),K7,IF(D88=FLOOR(L9,1),L7,IF(D88=FLOOR(M9,1),M7,IF(D88=FLOOR(N9,1),N7,IF(D88=FLOOR(O9,1),O7,IF(D88=FLOOR(J12,1),J10,IF(D88=FLOOR(K12,1),K10,IF(D88=FLOOR(L12,1),L10,IF(D88=FLOOR(J15,1),J13,IF(D88=FLOOR(K15,1),K13,IF(D88=FLOOR(L15,1),L13,IF(D88=FLOOR(M15,1),M13,IF(D88=FLOOR(N15,1),N13,IF(D88=FLOOR(J18,1),J16,IF(D88=FLOOR(K18,1),K16,IF(D88=FLOOR(L18,1),L16,IF(D88=FLOOR(M18,1),M16,IF(D88=FLOOR(N18,1),N16,IF(D88=FLOOR(O18,1),O16,"No M+")))))))))))))))))))))))</f>
        <v>No M+</v>
      </c>
      <c r="J22" s="10" t="s">
        <v>332</v>
      </c>
      <c r="K22" s="10" t="s">
        <v>333</v>
      </c>
      <c r="L22" s="10" t="s">
        <v>334</v>
      </c>
      <c r="M22" s="31"/>
      <c r="N22" s="31"/>
      <c r="O22" s="31"/>
      <c r="W22">
        <f>IF(Y22=TRUE,IF(B22="","",VLOOKUP('Sequence Calculations'!B30, 'Molecular Weight'!$A$3:$E$47, 4,FALSE)),0)</f>
        <v>0</v>
      </c>
      <c r="X22" t="str">
        <f>IF(Y22=TRUE,IF(B22="","",VLOOKUP('Sequence Calculations'!B30, 'Molecular Weight'!$A$3:$B$47, 2,FALSE)),"")</f>
        <v/>
      </c>
      <c r="Y22" t="b">
        <v>0</v>
      </c>
      <c r="Z22" t="str">
        <f>IF(C22="","",VLOOKUP('Sequence Calculations'!B30,'AA Exact Masses'!A$2:F$52,6,FALSE))</f>
        <v/>
      </c>
      <c r="AA22" t="str">
        <f>IF(Y22=TRUE,IF(B22="","",VLOOKUP('Sequence Calculations'!B30,'AA Exact Masses'!A$3:N$52, 7,FALSE)),"")</f>
        <v/>
      </c>
      <c r="AB22" t="str">
        <f>IF(Y22=TRUE,IF(B22="","",VLOOKUP('Sequence Calculations'!B30,'AA Exact Masses'!A$3:N$52, 8,FALSE)),"")</f>
        <v/>
      </c>
      <c r="AC22" t="str">
        <f>IF(Y22=TRUE,IF(B22="","",VLOOKUP('Sequence Calculations'!B30,'AA Exact Masses'!A$3:N$52, 9,FALSE)),"")</f>
        <v/>
      </c>
      <c r="AD22" t="str">
        <f>IF(Y22=TRUE,IF(B22="","",VLOOKUP('Sequence Calculations'!B30,'AA Exact Masses'!A$3:N$52, 10,FALSE)),"")</f>
        <v/>
      </c>
      <c r="AE22" t="str">
        <f>IF(Y22=TRUE,IF(B22="","",VLOOKUP('Sequence Calculations'!B30,'AA Exact Masses'!A$3:N$52, 11,FALSE)),"")</f>
        <v/>
      </c>
      <c r="AF22" t="str">
        <f>IF(Y22=TRUE,IF(B22="","",VLOOKUP('Sequence Calculations'!B30,'AA Exact Masses'!A$3:N$52, 12,FALSE)),"")</f>
        <v/>
      </c>
      <c r="AG22" t="str">
        <f>IF(Y22=TRUE,IF(B22="","",VLOOKUP('Sequence Calculations'!B30,'AA Exact Masses'!A$3:N$52, 13,FALSE)),"")</f>
        <v/>
      </c>
      <c r="AH22" t="str">
        <f>IF(Y22=TRUE,IF(B22="","",VLOOKUP('Sequence Calculations'!B30,'AA Exact Masses'!A$3:N$52, 14,FALSE)),"")</f>
        <v/>
      </c>
    </row>
    <row r="23" spans="1:34" x14ac:dyDescent="0.25">
      <c r="A23" s="4" t="e">
        <f t="shared" si="0"/>
        <v>#VALUE!</v>
      </c>
      <c r="B23" s="11" t="str">
        <f>IF('Sequence Calculations'!B31="","",VLOOKUP('Sequence Calculations'!B31,'AA Exact Masses'!$A$3:$E$52,2,FALSE))</f>
        <v>HCTU</v>
      </c>
      <c r="C23" t="str">
        <f>IF(Y23=TRUE,IF(B23="","",VLOOKUP('Sequence Calculations'!B31, 'AA Exact Masses'!$A$3:$E$52, 3,FALSE)),"")</f>
        <v/>
      </c>
      <c r="E23" t="str">
        <f>IF(Y23=TRUE,IF(B23="","",VLOOKUP('Sequence Calculations'!B31,'AA Exact Masses'!$A$3:$E$52,4,FALSE)),"")</f>
        <v/>
      </c>
      <c r="I23" s="5" t="s">
        <v>28</v>
      </c>
      <c r="J23" s="30">
        <f>J5-18.01056</f>
        <v>2283.2156799999998</v>
      </c>
      <c r="K23" s="30">
        <f t="shared" ref="K23:L23" si="2">K5-18.01056</f>
        <v>2305.1976599999998</v>
      </c>
      <c r="L23" s="30">
        <f t="shared" si="2"/>
        <v>2321.17157</v>
      </c>
      <c r="M23" s="31"/>
      <c r="N23" s="31"/>
      <c r="O23" s="31"/>
      <c r="W23">
        <f>IF(Y23=TRUE,IF(B23="","",VLOOKUP('Sequence Calculations'!B31, 'Molecular Weight'!$A$3:$E$47, 4,FALSE)),0)</f>
        <v>0</v>
      </c>
      <c r="X23" t="str">
        <f>IF(Y23=TRUE,IF(B23="","",VLOOKUP('Sequence Calculations'!B31, 'Molecular Weight'!$A$3:$B$47, 2,FALSE)),"")</f>
        <v/>
      </c>
      <c r="Y23" t="b">
        <v>0</v>
      </c>
      <c r="Z23" t="str">
        <f>IF(C23="","",VLOOKUP('Sequence Calculations'!B31,'AA Exact Masses'!A$2:F$52,6,FALSE))</f>
        <v/>
      </c>
      <c r="AA23" t="str">
        <f>IF(Y23=TRUE,IF(B23="","",VLOOKUP('Sequence Calculations'!B31,'AA Exact Masses'!A$3:N$52, 7,FALSE)),"")</f>
        <v/>
      </c>
      <c r="AB23" t="str">
        <f>IF(Y23=TRUE,IF(B23="","",VLOOKUP('Sequence Calculations'!B31,'AA Exact Masses'!A$3:N$52, 8,FALSE)),"")</f>
        <v/>
      </c>
      <c r="AC23" t="str">
        <f>IF(Y23=TRUE,IF(B23="","",VLOOKUP('Sequence Calculations'!B31,'AA Exact Masses'!A$3:N$52, 9,FALSE)),"")</f>
        <v/>
      </c>
      <c r="AD23" t="str">
        <f>IF(Y23=TRUE,IF(B23="","",VLOOKUP('Sequence Calculations'!B31,'AA Exact Masses'!A$3:N$52, 10,FALSE)),"")</f>
        <v/>
      </c>
      <c r="AE23" t="str">
        <f>IF(Y23=TRUE,IF(B23="","",VLOOKUP('Sequence Calculations'!B31,'AA Exact Masses'!A$3:N$52, 11,FALSE)),"")</f>
        <v/>
      </c>
      <c r="AF23" t="str">
        <f>IF(Y23=TRUE,IF(B23="","",VLOOKUP('Sequence Calculations'!B31,'AA Exact Masses'!A$3:N$52, 12,FALSE)),"")</f>
        <v/>
      </c>
      <c r="AG23" t="str">
        <f>IF(Y23=TRUE,IF(B23="","",VLOOKUP('Sequence Calculations'!B31,'AA Exact Masses'!A$3:N$52, 13,FALSE)),"")</f>
        <v/>
      </c>
      <c r="AH23" t="str">
        <f>IF(Y23=TRUE,IF(B23="","",VLOOKUP('Sequence Calculations'!B31,'AA Exact Masses'!A$3:N$52, 14,FALSE)),"")</f>
        <v/>
      </c>
    </row>
    <row r="24" spans="1:34" x14ac:dyDescent="0.25">
      <c r="A24" s="4" t="str">
        <f t="shared" si="0"/>
        <v/>
      </c>
      <c r="B24" s="11" t="str">
        <f>IF('Sequence Calculations'!B32="","",VLOOKUP('Sequence Calculations'!B32,'AA Exact Masses'!$A$3:$E$52,2,FALSE))</f>
        <v/>
      </c>
      <c r="C24" t="str">
        <f>IF(Y24=TRUE,IF(B24="","",VLOOKUP('Sequence Calculations'!B32, 'AA Exact Masses'!$A$3:$E$52, 3,FALSE)),"")</f>
        <v/>
      </c>
      <c r="E24" t="str">
        <f>IF(Y24=TRUE,IF(B24="","",VLOOKUP('Sequence Calculations'!B32,'AA Exact Masses'!$A$3:$E$52,4,FALSE)),"")</f>
        <v/>
      </c>
      <c r="F24" s="4" t="s">
        <v>55</v>
      </c>
      <c r="I24" s="5" t="s">
        <v>491</v>
      </c>
      <c r="J24" s="32">
        <f>J6-18.01056</f>
        <v>1870.93317</v>
      </c>
      <c r="K24" s="32">
        <f t="shared" ref="K24:L24" si="3">K6-18.01056</f>
        <v>1892.91515</v>
      </c>
      <c r="L24" s="32">
        <f t="shared" si="3"/>
        <v>1908.88906</v>
      </c>
      <c r="M24" s="31"/>
      <c r="N24" s="31"/>
      <c r="O24" s="31"/>
      <c r="W24">
        <f>IF(Y24=TRUE,IF(B24="","",VLOOKUP('Sequence Calculations'!B32, 'Molecular Weight'!$A$3:$E$47, 4,FALSE)),0)</f>
        <v>0</v>
      </c>
      <c r="X24" t="str">
        <f>IF(Y24=TRUE,IF(B24="","",VLOOKUP('Sequence Calculations'!B32, 'Molecular Weight'!$A$3:$B$47, 2,FALSE)),"")</f>
        <v/>
      </c>
      <c r="Y24" t="b">
        <v>0</v>
      </c>
      <c r="Z24" t="str">
        <f>IF(C24="","",VLOOKUP('Sequence Calculations'!B32,'AA Exact Masses'!A$2:F$52,6,FALSE))</f>
        <v/>
      </c>
      <c r="AA24" t="str">
        <f>IF(Y24=TRUE,IF(B24="","",VLOOKUP('Sequence Calculations'!B32,'AA Exact Masses'!A$3:N$52, 7,FALSE)),"")</f>
        <v/>
      </c>
      <c r="AB24" t="str">
        <f>IF(Y24=TRUE,IF(B24="","",VLOOKUP('Sequence Calculations'!B32,'AA Exact Masses'!A$3:N$52, 8,FALSE)),"")</f>
        <v/>
      </c>
      <c r="AC24" t="str">
        <f>IF(Y24=TRUE,IF(B24="","",VLOOKUP('Sequence Calculations'!B32,'AA Exact Masses'!A$3:N$52, 9,FALSE)),"")</f>
        <v/>
      </c>
      <c r="AD24" t="str">
        <f>IF(Y24=TRUE,IF(B24="","",VLOOKUP('Sequence Calculations'!B32,'AA Exact Masses'!A$3:N$52, 10,FALSE)),"")</f>
        <v/>
      </c>
      <c r="AE24" t="str">
        <f>IF(Y24=TRUE,IF(B24="","",VLOOKUP('Sequence Calculations'!B32,'AA Exact Masses'!A$3:N$52, 11,FALSE)),"")</f>
        <v/>
      </c>
      <c r="AF24" t="str">
        <f>IF(Y24=TRUE,IF(B24="","",VLOOKUP('Sequence Calculations'!B32,'AA Exact Masses'!A$3:N$52, 12,FALSE)),"")</f>
        <v/>
      </c>
      <c r="AG24" t="str">
        <f>IF(Y24=TRUE,IF(B24="","",VLOOKUP('Sequence Calculations'!B32,'AA Exact Masses'!A$3:N$52, 13,FALSE)),"")</f>
        <v/>
      </c>
      <c r="AH24" t="str">
        <f>IF(Y24=TRUE,IF(B24="","",VLOOKUP('Sequence Calculations'!B32,'AA Exact Masses'!A$3:N$52, 14,FALSE)),"")</f>
        <v/>
      </c>
    </row>
    <row r="25" spans="1:34" x14ac:dyDescent="0.25">
      <c r="A25" s="4" t="str">
        <f t="shared" si="0"/>
        <v/>
      </c>
      <c r="B25" s="11" t="str">
        <f>IF('Sequence Calculations'!B33="","",VLOOKUP('Sequence Calculations'!B33,'AA Exact Masses'!$A$3:$E$52,2,FALSE))</f>
        <v/>
      </c>
      <c r="C25" t="str">
        <f>IF(Y25=TRUE,IF(B25="","",VLOOKUP('Sequence Calculations'!B33, 'AA Exact Masses'!$A$3:$E$52, 3,FALSE)),"")</f>
        <v/>
      </c>
      <c r="D25" s="14" t="s">
        <v>28</v>
      </c>
      <c r="E25" t="str">
        <f>IF(Y25=TRUE,IF(B25="","",VLOOKUP('Sequence Calculations'!B33,'AA Exact Masses'!$A$3:$E$52,4,FALSE)),"")</f>
        <v/>
      </c>
      <c r="F25" s="15" t="str">
        <f>IF(D91=FLOOR(J23,1),J4,IF(D91=FLOOR(K23,1),K4,IF(D91=FLOOR(L23,1),L4,IF(D91=FLOOR(J26,1),J7,IF(D91=FLOOR(K26,1),K7,IF(D91=FLOOR(L26,1),L7,IF(D91=FLOOR(M26,1),M7,IF(D91=FLOOR(N26,1),N7,IF(D91=FLOOR(O26,1),O7,IF(D91=FLOOR(J29,1),J10,IF(D91=FLOOR(K29,1),K10,IF(D91=FLOOR(L29,1),L10,IF(D91=FLOOR(J32,1),J13,IF(D91=FLOOR(K32,1),K13,IF(D91=FLOOR(L32,1),L13,IF(D91=FLOOR(M32,1),M13,IF(D91=FLOOR(N32,1),N13,IF(D91=FLOOR(J35,1),J16,IF(D91=FLOOR(K35,1),K16,IF(D91=FLOOR(L35,1),L16,IF(D91=FLOOR(M35,1),M16,IF(D91=FLOOR(N35,1),N16,IF(D91=FLOOR(O35,1),O16,"No M+")))))))))))))))))))))))</f>
        <v>No M+</v>
      </c>
      <c r="J25" s="33" t="s">
        <v>330</v>
      </c>
      <c r="K25" s="33" t="s">
        <v>331</v>
      </c>
      <c r="L25" s="33" t="s">
        <v>335</v>
      </c>
      <c r="M25" s="33" t="s">
        <v>357</v>
      </c>
      <c r="N25" s="33" t="s">
        <v>336</v>
      </c>
      <c r="O25" s="33" t="s">
        <v>337</v>
      </c>
      <c r="W25">
        <f>IF(Y25=TRUE,IF(B25="","",VLOOKUP('Sequence Calculations'!B33, 'Molecular Weight'!$A$3:$E$47, 4,FALSE)),0)</f>
        <v>0</v>
      </c>
      <c r="X25" t="str">
        <f>IF(Y25=TRUE,IF(B25="","",VLOOKUP('Sequence Calculations'!B33, 'Molecular Weight'!$A$3:$B$47, 2,FALSE)),"")</f>
        <v/>
      </c>
      <c r="Y25" t="b">
        <v>0</v>
      </c>
      <c r="Z25" t="str">
        <f>IF(C25="","",VLOOKUP('Sequence Calculations'!B33,'AA Exact Masses'!A$2:F$52,6,FALSE))</f>
        <v/>
      </c>
      <c r="AA25" t="str">
        <f>IF(Y25=TRUE,IF(B25="","",VLOOKUP('Sequence Calculations'!B33,'AA Exact Masses'!A$3:N$52, 7,FALSE)),"")</f>
        <v/>
      </c>
      <c r="AB25" t="str">
        <f>IF(Y25=TRUE,IF(B25="","",VLOOKUP('Sequence Calculations'!B33,'AA Exact Masses'!A$3:N$52, 8,FALSE)),"")</f>
        <v/>
      </c>
      <c r="AC25" t="str">
        <f>IF(Y25=TRUE,IF(B25="","",VLOOKUP('Sequence Calculations'!B33,'AA Exact Masses'!A$3:N$52, 9,FALSE)),"")</f>
        <v/>
      </c>
      <c r="AD25" t="str">
        <f>IF(Y25=TRUE,IF(B25="","",VLOOKUP('Sequence Calculations'!B33,'AA Exact Masses'!A$3:N$52, 10,FALSE)),"")</f>
        <v/>
      </c>
      <c r="AE25" t="str">
        <f>IF(Y25=TRUE,IF(B25="","",VLOOKUP('Sequence Calculations'!B33,'AA Exact Masses'!A$3:N$52, 11,FALSE)),"")</f>
        <v/>
      </c>
      <c r="AF25" t="str">
        <f>IF(Y25=TRUE,IF(B25="","",VLOOKUP('Sequence Calculations'!B33,'AA Exact Masses'!A$3:N$52, 12,FALSE)),"")</f>
        <v/>
      </c>
      <c r="AG25" t="str">
        <f>IF(Y25=TRUE,IF(B25="","",VLOOKUP('Sequence Calculations'!B33,'AA Exact Masses'!A$3:N$52, 13,FALSE)),"")</f>
        <v/>
      </c>
      <c r="AH25" t="str">
        <f>IF(Y25=TRUE,IF(B25="","",VLOOKUP('Sequence Calculations'!B33,'AA Exact Masses'!A$3:N$52, 14,FALSE)),"")</f>
        <v/>
      </c>
    </row>
    <row r="26" spans="1:34" x14ac:dyDescent="0.25">
      <c r="A26" s="4" t="str">
        <f t="shared" si="0"/>
        <v/>
      </c>
      <c r="B26" s="11" t="str">
        <f>IF('Sequence Calculations'!B34="","",VLOOKUP('Sequence Calculations'!B34,'AA Exact Masses'!$A$3:$E$52,2,FALSE))</f>
        <v/>
      </c>
      <c r="C26" t="str">
        <f>IF(Y26=TRUE,IF(B26="","",VLOOKUP('Sequence Calculations'!B34, 'AA Exact Masses'!$A$3:$E$52, 3,FALSE)),"")</f>
        <v/>
      </c>
      <c r="D26" s="14" t="s">
        <v>491</v>
      </c>
      <c r="E26" t="str">
        <f>IF(Y26=TRUE,IF(B26="","",VLOOKUP('Sequence Calculations'!B34,'AA Exact Masses'!$A$3:$E$52,4,FALSE)),"")</f>
        <v/>
      </c>
      <c r="F26" s="15" t="str">
        <f>IF(D92=FLOOR(J24,1),J4,IF(D92=FLOOR(K24,1),K4,IF(D92=FLOOR(L24,1),L4,IF(D92=FLOOR(J27,1),J7,IF(D92=FLOOR(K27,1),K7,IF(D92=FLOOR(L27,1),L7,IF(D92=FLOOR(M27,1),M7,IF(D92=FLOOR(N27,1),N7,IF(D92=FLOOR(O27,1),O7,IF(D92=FLOOR(J30,1),J10,IF(D92=FLOOR(K30,1),K10,IF(D92=FLOOR(L30,1),L10,IF(D92=FLOOR(J33,1),J13,IF(D92=FLOOR(K33,1),K13,IF(D92=FLOOR(L33,1),L13,IF(D92=FLOOR(M33,1),M13,IF(D92=FLOOR(N33,1),N13,IF(D92=FLOOR(J36,1),J16,IF(D92=FLOOR(K36,1),K16,IF(D92=FLOOR(L36,1),L16,IF(D92=FLOOR(M36,1),M16,IF(D92=FLOOR(N36,1),N16,IF(D92=FLOOR(O36,1),O16,"No M+")))))))))))))))))))))))</f>
        <v>No M+</v>
      </c>
      <c r="I26" s="5" t="s">
        <v>28</v>
      </c>
      <c r="J26" s="30">
        <f>J8-(18.01056/2)</f>
        <v>1142.11175</v>
      </c>
      <c r="K26" s="30">
        <f t="shared" ref="K26:O26" si="4">K8-(18.01056/2)</f>
        <v>1164.0937300000001</v>
      </c>
      <c r="L26" s="30">
        <f t="shared" si="4"/>
        <v>1180.06764</v>
      </c>
      <c r="M26" s="30">
        <f t="shared" si="4"/>
        <v>1153.1027399999998</v>
      </c>
      <c r="N26" s="30">
        <f t="shared" si="4"/>
        <v>1172.0806849999999</v>
      </c>
      <c r="O26" s="30">
        <f t="shared" si="4"/>
        <v>1161.0896949999999</v>
      </c>
      <c r="W26">
        <f>IF(Y26=TRUE,IF(B26="","",VLOOKUP('Sequence Calculations'!B34, 'Molecular Weight'!$A$3:$E$47, 4,FALSE)),0)</f>
        <v>0</v>
      </c>
      <c r="X26" t="str">
        <f>IF(Y26=TRUE,IF(B26="","",VLOOKUP('Sequence Calculations'!B34, 'Molecular Weight'!$A$3:$B$47, 2,FALSE)),"")</f>
        <v/>
      </c>
      <c r="Y26" t="b">
        <v>0</v>
      </c>
      <c r="Z26" t="str">
        <f>IF(C26="","",VLOOKUP('Sequence Calculations'!B34,'AA Exact Masses'!A$2:F$52,6,FALSE))</f>
        <v/>
      </c>
      <c r="AA26" t="str">
        <f>IF(Y26=TRUE,IF(B26="","",VLOOKUP('Sequence Calculations'!B34,'AA Exact Masses'!A$3:N$52, 7,FALSE)),"")</f>
        <v/>
      </c>
      <c r="AB26" t="str">
        <f>IF(Y26=TRUE,IF(B26="","",VLOOKUP('Sequence Calculations'!B34,'AA Exact Masses'!A$3:N$52, 8,FALSE)),"")</f>
        <v/>
      </c>
      <c r="AC26" t="str">
        <f>IF(Y26=TRUE,IF(B26="","",VLOOKUP('Sequence Calculations'!B34,'AA Exact Masses'!A$3:N$52, 9,FALSE)),"")</f>
        <v/>
      </c>
      <c r="AD26" t="str">
        <f>IF(Y26=TRUE,IF(B26="","",VLOOKUP('Sequence Calculations'!B34,'AA Exact Masses'!A$3:N$52, 10,FALSE)),"")</f>
        <v/>
      </c>
      <c r="AE26" t="str">
        <f>IF(Y26=TRUE,IF(B26="","",VLOOKUP('Sequence Calculations'!B34,'AA Exact Masses'!A$3:N$52, 11,FALSE)),"")</f>
        <v/>
      </c>
      <c r="AF26" t="str">
        <f>IF(Y26=TRUE,IF(B26="","",VLOOKUP('Sequence Calculations'!B34,'AA Exact Masses'!A$3:N$52, 12,FALSE)),"")</f>
        <v/>
      </c>
      <c r="AG26" t="str">
        <f>IF(Y26=TRUE,IF(B26="","",VLOOKUP('Sequence Calculations'!B34,'AA Exact Masses'!A$3:N$52, 13,FALSE)),"")</f>
        <v/>
      </c>
      <c r="AH26" t="str">
        <f>IF(Y26=TRUE,IF(B26="","",VLOOKUP('Sequence Calculations'!B34,'AA Exact Masses'!A$3:N$52, 14,FALSE)),"")</f>
        <v/>
      </c>
    </row>
    <row r="27" spans="1:34" x14ac:dyDescent="0.25">
      <c r="A27" s="4" t="str">
        <f t="shared" si="0"/>
        <v/>
      </c>
      <c r="B27" s="11" t="str">
        <f>IF('Sequence Calculations'!B35="","",VLOOKUP('Sequence Calculations'!B35,'AA Exact Masses'!$A$3:$E$52,2,FALSE))</f>
        <v/>
      </c>
      <c r="C27" t="str">
        <f>IF(Y27=TRUE,IF(B27="","",VLOOKUP('Sequence Calculations'!B35, 'AA Exact Masses'!$A$3:$E$52, 3,FALSE)),"")</f>
        <v/>
      </c>
      <c r="E27" t="str">
        <f>IF(Y27=TRUE,IF(B27="","",VLOOKUP('Sequence Calculations'!B35,'AA Exact Masses'!$A$3:$E$52,4,FALSE)),"")</f>
        <v/>
      </c>
      <c r="I27" s="5" t="s">
        <v>491</v>
      </c>
      <c r="J27" s="32">
        <f>J9-(18.01056/2)</f>
        <v>935.97049500000003</v>
      </c>
      <c r="K27" s="32">
        <f t="shared" ref="K27:O27" si="5">K9-(18.01056/2)</f>
        <v>957.95247499999994</v>
      </c>
      <c r="L27" s="32">
        <f t="shared" si="5"/>
        <v>973.92638499999998</v>
      </c>
      <c r="M27" s="32">
        <f t="shared" si="5"/>
        <v>946.96148500000004</v>
      </c>
      <c r="N27" s="32">
        <f t="shared" si="5"/>
        <v>965.93943000000002</v>
      </c>
      <c r="O27" s="32">
        <f t="shared" si="5"/>
        <v>954.94844000000001</v>
      </c>
      <c r="W27">
        <f>IF(Y27=TRUE,IF(B27="","",VLOOKUP('Sequence Calculations'!B35, 'Molecular Weight'!$A$3:$E$47, 4,FALSE)),0)</f>
        <v>0</v>
      </c>
      <c r="X27" t="str">
        <f>IF(Y27=TRUE,IF(B27="","",VLOOKUP('Sequence Calculations'!B35, 'Molecular Weight'!$A$3:$B$47, 2,FALSE)),"")</f>
        <v/>
      </c>
      <c r="Y27" t="b">
        <v>0</v>
      </c>
      <c r="Z27" t="str">
        <f>IF(C27="","",VLOOKUP('Sequence Calculations'!B35,'AA Exact Masses'!A$2:F$52,6,FALSE))</f>
        <v/>
      </c>
      <c r="AA27" t="str">
        <f>IF(Y27=TRUE,IF(B27="","",VLOOKUP('Sequence Calculations'!B35,'AA Exact Masses'!A$3:N$52, 7,FALSE)),"")</f>
        <v/>
      </c>
      <c r="AB27" t="str">
        <f>IF(Y27=TRUE,IF(B27="","",VLOOKUP('Sequence Calculations'!B35,'AA Exact Masses'!A$3:N$52, 8,FALSE)),"")</f>
        <v/>
      </c>
      <c r="AC27" t="str">
        <f>IF(Y27=TRUE,IF(B27="","",VLOOKUP('Sequence Calculations'!B35,'AA Exact Masses'!A$3:N$52, 9,FALSE)),"")</f>
        <v/>
      </c>
      <c r="AD27" t="str">
        <f>IF(Y27=TRUE,IF(B27="","",VLOOKUP('Sequence Calculations'!B35,'AA Exact Masses'!A$3:N$52, 10,FALSE)),"")</f>
        <v/>
      </c>
      <c r="AE27" t="str">
        <f>IF(Y27=TRUE,IF(B27="","",VLOOKUP('Sequence Calculations'!B35,'AA Exact Masses'!A$3:N$52, 11,FALSE)),"")</f>
        <v/>
      </c>
      <c r="AF27" t="str">
        <f>IF(Y27=TRUE,IF(B27="","",VLOOKUP('Sequence Calculations'!B35,'AA Exact Masses'!A$3:N$52, 12,FALSE)),"")</f>
        <v/>
      </c>
      <c r="AG27" t="str">
        <f>IF(Y27=TRUE,IF(B27="","",VLOOKUP('Sequence Calculations'!B35,'AA Exact Masses'!A$3:N$52, 13,FALSE)),"")</f>
        <v/>
      </c>
      <c r="AH27" t="str">
        <f>IF(Y27=TRUE,IF(B27="","",VLOOKUP('Sequence Calculations'!B35,'AA Exact Masses'!A$3:N$52, 14,FALSE)),"")</f>
        <v/>
      </c>
    </row>
    <row r="28" spans="1:34" x14ac:dyDescent="0.25">
      <c r="A28" s="4" t="str">
        <f t="shared" si="0"/>
        <v/>
      </c>
      <c r="B28" s="11" t="str">
        <f>IF('Sequence Calculations'!B36="","",VLOOKUP('Sequence Calculations'!B36,'AA Exact Masses'!$A$3:$E$52,2,FALSE))</f>
        <v/>
      </c>
      <c r="C28" t="str">
        <f>IF(Y28=TRUE,IF(B28="","",VLOOKUP('Sequence Calculations'!B36, 'AA Exact Masses'!$A$3:$E$52, 3,FALSE)),"")</f>
        <v/>
      </c>
      <c r="D28" s="4" t="s">
        <v>494</v>
      </c>
      <c r="E28" t="str">
        <f>IF(Y28=TRUE,IF(B28="","",VLOOKUP('Sequence Calculations'!B36,'AA Exact Masses'!$A$3:$E$52,4,FALSE)),"")</f>
        <v/>
      </c>
      <c r="F28">
        <f>IF(D6="Yes", ((F32*12.011)+(F33*1.007947)+(F34*14.007)+(F35*15.99)+(F36*32.066)+(F37*79.904)+(F38*126.90447)+(F39*18.9984032)+SUM(Z5:Z54)*113.99), ((F32*12.011)+(F33*1.007947)+(F34*14.007)+(F35*15.99)+(F36*32.066)+(F37*79.904)+(F38*126.90447)+(F39*18.9984032)+(SUM(Z5:Z54)+1)*113.99))</f>
        <v>2212.8232619999999</v>
      </c>
      <c r="I28" s="4"/>
      <c r="J28" s="33" t="s">
        <v>338</v>
      </c>
      <c r="K28" s="33" t="s">
        <v>340</v>
      </c>
      <c r="L28" s="33" t="s">
        <v>341</v>
      </c>
      <c r="M28" s="33" t="s">
        <v>342</v>
      </c>
      <c r="N28" s="33" t="s">
        <v>343</v>
      </c>
      <c r="O28" s="33" t="s">
        <v>344</v>
      </c>
      <c r="P28" s="33" t="s">
        <v>345</v>
      </c>
      <c r="W28">
        <f>IF(Y28=TRUE,IF(B28="","",VLOOKUP('Sequence Calculations'!B36, 'Molecular Weight'!$A$3:$E$47, 4,FALSE)),0)</f>
        <v>0</v>
      </c>
      <c r="X28" t="str">
        <f>IF(Y28=TRUE,IF(B28="","",VLOOKUP('Sequence Calculations'!B36, 'Molecular Weight'!$A$3:$B$47, 2,FALSE)),"")</f>
        <v/>
      </c>
      <c r="Y28" t="b">
        <v>0</v>
      </c>
      <c r="Z28" t="str">
        <f>IF(C28="","",VLOOKUP('Sequence Calculations'!B36,'AA Exact Masses'!A$2:F$52,6,FALSE))</f>
        <v/>
      </c>
      <c r="AA28" t="str">
        <f>IF(Y28=TRUE,IF(B28="","",VLOOKUP('Sequence Calculations'!B36,'AA Exact Masses'!A$3:N$52, 7,FALSE)),"")</f>
        <v/>
      </c>
      <c r="AB28" t="str">
        <f>IF(Y28=TRUE,IF(B28="","",VLOOKUP('Sequence Calculations'!B36,'AA Exact Masses'!A$3:N$52, 8,FALSE)),"")</f>
        <v/>
      </c>
      <c r="AC28" t="str">
        <f>IF(Y28=TRUE,IF(B28="","",VLOOKUP('Sequence Calculations'!B36,'AA Exact Masses'!A$3:N$52, 9,FALSE)),"")</f>
        <v/>
      </c>
      <c r="AD28" t="str">
        <f>IF(Y28=TRUE,IF(B28="","",VLOOKUP('Sequence Calculations'!B36,'AA Exact Masses'!A$3:N$52, 10,FALSE)),"")</f>
        <v/>
      </c>
      <c r="AE28" t="str">
        <f>IF(Y28=TRUE,IF(B28="","",VLOOKUP('Sequence Calculations'!B36,'AA Exact Masses'!A$3:N$52, 11,FALSE)),"")</f>
        <v/>
      </c>
      <c r="AF28" t="str">
        <f>IF(Y28=TRUE,IF(B28="","",VLOOKUP('Sequence Calculations'!B36,'AA Exact Masses'!A$3:N$52, 12,FALSE)),"")</f>
        <v/>
      </c>
      <c r="AG28" t="str">
        <f>IF(Y28=TRUE,IF(B28="","",VLOOKUP('Sequence Calculations'!B36,'AA Exact Masses'!A$3:N$52, 13,FALSE)),"")</f>
        <v/>
      </c>
      <c r="AH28" t="str">
        <f>IF(Y28=TRUE,IF(B28="","",VLOOKUP('Sequence Calculations'!B36,'AA Exact Masses'!A$3:N$52, 14,FALSE)),"")</f>
        <v/>
      </c>
    </row>
    <row r="29" spans="1:34" x14ac:dyDescent="0.25">
      <c r="A29" s="4" t="str">
        <f t="shared" si="0"/>
        <v/>
      </c>
      <c r="B29" s="11" t="str">
        <f>IF('Sequence Calculations'!B37="","",VLOOKUP('Sequence Calculations'!B37,'AA Exact Masses'!$A$3:$E$52,2,FALSE))</f>
        <v/>
      </c>
      <c r="C29" t="str">
        <f>IF(Y29=TRUE,IF(B29="","",VLOOKUP('Sequence Calculations'!B37, 'AA Exact Masses'!$A$3:$E$52, 3,FALSE)),"")</f>
        <v/>
      </c>
      <c r="D29" s="4" t="s">
        <v>379</v>
      </c>
      <c r="E29" t="str">
        <f>IF(Y29=TRUE,IF(B29="","",VLOOKUP('Sequence Calculations'!B37,'AA Exact Masses'!$A$3:$E$52,4,FALSE)),"")</f>
        <v/>
      </c>
      <c r="I29" s="5" t="s">
        <v>28</v>
      </c>
      <c r="J29" s="30">
        <f>J11-(18.01056/3)</f>
        <v>761.74377333333337</v>
      </c>
      <c r="K29" s="30">
        <f t="shared" ref="K29:M29" si="6">K11-(18.01056/3)</f>
        <v>776.39842666666675</v>
      </c>
      <c r="L29" s="30">
        <f t="shared" si="6"/>
        <v>769.0711</v>
      </c>
      <c r="M29" s="30">
        <f t="shared" si="6"/>
        <v>783.72575333333339</v>
      </c>
      <c r="N29" s="30">
        <f t="shared" ref="N29:P29" si="7">N11-(18.01056/3)</f>
        <v>781.72306333333324</v>
      </c>
      <c r="O29" s="30">
        <f t="shared" si="7"/>
        <v>794.37502666666671</v>
      </c>
      <c r="P29" s="30">
        <f t="shared" si="7"/>
        <v>799.69966333333343</v>
      </c>
      <c r="W29">
        <f>IF(Y29=TRUE,IF(B29="","",VLOOKUP('Sequence Calculations'!B37, 'Molecular Weight'!$A$3:$E$47, 4,FALSE)),0)</f>
        <v>0</v>
      </c>
      <c r="X29" t="str">
        <f>IF(Y29=TRUE,IF(B29="","",VLOOKUP('Sequence Calculations'!B37, 'Molecular Weight'!$A$3:$B$47, 2,FALSE)),"")</f>
        <v/>
      </c>
      <c r="Y29" t="b">
        <v>0</v>
      </c>
      <c r="Z29" t="str">
        <f>IF(C29="","",VLOOKUP('Sequence Calculations'!B37,'AA Exact Masses'!A$2:F$52,6,FALSE))</f>
        <v/>
      </c>
      <c r="AA29" t="str">
        <f>IF(Y29=TRUE,IF(B29="","",VLOOKUP('Sequence Calculations'!B37,'AA Exact Masses'!A$3:N$52, 7,FALSE)),"")</f>
        <v/>
      </c>
      <c r="AB29" t="str">
        <f>IF(Y29=TRUE,IF(B29="","",VLOOKUP('Sequence Calculations'!B37,'AA Exact Masses'!A$3:N$52, 8,FALSE)),"")</f>
        <v/>
      </c>
      <c r="AC29" t="str">
        <f>IF(Y29=TRUE,IF(B29="","",VLOOKUP('Sequence Calculations'!B37,'AA Exact Masses'!A$3:N$52, 9,FALSE)),"")</f>
        <v/>
      </c>
      <c r="AD29" t="str">
        <f>IF(Y29=TRUE,IF(B29="","",VLOOKUP('Sequence Calculations'!B37,'AA Exact Masses'!A$3:N$52, 10,FALSE)),"")</f>
        <v/>
      </c>
      <c r="AE29" t="str">
        <f>IF(Y29=TRUE,IF(B29="","",VLOOKUP('Sequence Calculations'!B37,'AA Exact Masses'!A$3:N$52, 11,FALSE)),"")</f>
        <v/>
      </c>
      <c r="AF29" t="str">
        <f>IF(Y29=TRUE,IF(B29="","",VLOOKUP('Sequence Calculations'!B37,'AA Exact Masses'!A$3:N$52, 12,FALSE)),"")</f>
        <v/>
      </c>
      <c r="AG29" t="str">
        <f>IF(Y29=TRUE,IF(B29="","",VLOOKUP('Sequence Calculations'!B37,'AA Exact Masses'!A$3:N$52, 13,FALSE)),"")</f>
        <v/>
      </c>
      <c r="AH29" t="str">
        <f>IF(Y29=TRUE,IF(B29="","",VLOOKUP('Sequence Calculations'!B37,'AA Exact Masses'!A$3:N$52, 14,FALSE)),"")</f>
        <v/>
      </c>
    </row>
    <row r="30" spans="1:34" x14ac:dyDescent="0.25">
      <c r="A30" s="4" t="str">
        <f t="shared" si="0"/>
        <v/>
      </c>
      <c r="B30" s="11" t="str">
        <f>IF('Sequence Calculations'!B38="","",VLOOKUP('Sequence Calculations'!B38,'AA Exact Masses'!$A$3:$E$52,2,FALSE))</f>
        <v/>
      </c>
      <c r="C30" t="str">
        <f>IF(Y30=TRUE,IF(B30="","",VLOOKUP('Sequence Calculations'!B38, 'AA Exact Masses'!$A$3:$E$52, 3,FALSE)),"")</f>
        <v/>
      </c>
      <c r="D30" s="4"/>
      <c r="E30" t="str">
        <f>IF(Y30=TRUE,IF(B30="","",VLOOKUP('Sequence Calculations'!B38,'AA Exact Masses'!$A$3:$E$52,4,FALSE)),"")</f>
        <v/>
      </c>
      <c r="I30" s="5" t="s">
        <v>491</v>
      </c>
      <c r="J30" s="32">
        <f>J12-(18.01056/3)</f>
        <v>624.31627000000003</v>
      </c>
      <c r="K30" s="32">
        <f t="shared" ref="K30:M30" si="8">K12-(18.01056/3)</f>
        <v>638.9709233333333</v>
      </c>
      <c r="L30" s="32">
        <f t="shared" si="8"/>
        <v>631.64359666666667</v>
      </c>
      <c r="M30" s="32">
        <f t="shared" si="8"/>
        <v>646.29824999999994</v>
      </c>
      <c r="N30" s="32">
        <f t="shared" ref="N30:P30" si="9">N12-(18.01056/3)</f>
        <v>644.29556000000002</v>
      </c>
      <c r="O30" s="32">
        <f t="shared" si="9"/>
        <v>656.94752333333338</v>
      </c>
      <c r="P30" s="32">
        <f t="shared" si="9"/>
        <v>662.27215999999999</v>
      </c>
      <c r="W30">
        <f>IF(Y30=TRUE,IF(B30="","",VLOOKUP('Sequence Calculations'!B38, 'Molecular Weight'!$A$3:$E$47, 4,FALSE)),0)</f>
        <v>0</v>
      </c>
      <c r="X30" t="str">
        <f>IF(Y30=TRUE,IF(B30="","",VLOOKUP('Sequence Calculations'!B38, 'Molecular Weight'!$A$3:$B$47, 2,FALSE)),"")</f>
        <v/>
      </c>
      <c r="Y30" t="b">
        <v>0</v>
      </c>
      <c r="Z30" t="str">
        <f>IF(C30="","",VLOOKUP('Sequence Calculations'!B38,'AA Exact Masses'!A$2:F$52,6,FALSE))</f>
        <v/>
      </c>
      <c r="AA30" t="str">
        <f>IF(Y30=TRUE,IF(B30="","",VLOOKUP('Sequence Calculations'!B38,'AA Exact Masses'!A$3:N$52, 7,FALSE)),"")</f>
        <v/>
      </c>
      <c r="AB30" t="str">
        <f>IF(Y30=TRUE,IF(B30="","",VLOOKUP('Sequence Calculations'!B38,'AA Exact Masses'!A$3:N$52, 8,FALSE)),"")</f>
        <v/>
      </c>
      <c r="AC30" t="str">
        <f>IF(Y30=TRUE,IF(B30="","",VLOOKUP('Sequence Calculations'!B38,'AA Exact Masses'!A$3:N$52, 9,FALSE)),"")</f>
        <v/>
      </c>
      <c r="AD30" t="str">
        <f>IF(Y30=TRUE,IF(B30="","",VLOOKUP('Sequence Calculations'!B38,'AA Exact Masses'!A$3:N$52, 10,FALSE)),"")</f>
        <v/>
      </c>
      <c r="AE30" t="str">
        <f>IF(Y30=TRUE,IF(B30="","",VLOOKUP('Sequence Calculations'!B38,'AA Exact Masses'!A$3:N$52, 11,FALSE)),"")</f>
        <v/>
      </c>
      <c r="AF30" t="str">
        <f>IF(Y30=TRUE,IF(B30="","",VLOOKUP('Sequence Calculations'!B38,'AA Exact Masses'!A$3:N$52, 12,FALSE)),"")</f>
        <v/>
      </c>
      <c r="AG30" t="str">
        <f>IF(Y30=TRUE,IF(B30="","",VLOOKUP('Sequence Calculations'!B38,'AA Exact Masses'!A$3:N$52, 13,FALSE)),"")</f>
        <v/>
      </c>
      <c r="AH30" t="str">
        <f>IF(Y30=TRUE,IF(B30="","",VLOOKUP('Sequence Calculations'!B38,'AA Exact Masses'!A$3:N$52, 14,FALSE)),"")</f>
        <v/>
      </c>
    </row>
    <row r="31" spans="1:34" x14ac:dyDescent="0.25">
      <c r="A31" s="4" t="str">
        <f t="shared" si="0"/>
        <v/>
      </c>
      <c r="B31" s="11" t="str">
        <f>IF('Sequence Calculations'!B39="","",VLOOKUP('Sequence Calculations'!B39,'AA Exact Masses'!$A$3:$E$52,2,FALSE))</f>
        <v/>
      </c>
      <c r="C31" t="str">
        <f>IF(Y31=TRUE,IF(B31="","",VLOOKUP('Sequence Calculations'!B39, 'AA Exact Masses'!$A$3:$E$52, 3,FALSE)),"")</f>
        <v/>
      </c>
      <c r="D31" s="46"/>
      <c r="E31" t="str">
        <f>IF(Y31=TRUE,IF(B31="","",VLOOKUP('Sequence Calculations'!B39,'AA Exact Masses'!$A$3:$E$52,4,FALSE)),"")</f>
        <v/>
      </c>
      <c r="I31" s="4"/>
      <c r="J31" s="33" t="s">
        <v>346</v>
      </c>
      <c r="K31" s="33" t="s">
        <v>347</v>
      </c>
      <c r="L31" s="33" t="s">
        <v>348</v>
      </c>
      <c r="M31" s="33" t="s">
        <v>349</v>
      </c>
      <c r="N31" s="33" t="s">
        <v>350</v>
      </c>
      <c r="O31" s="31"/>
      <c r="W31">
        <f>IF(Y31=TRUE,IF(B31="","",VLOOKUP('Sequence Calculations'!B39, 'Molecular Weight'!$A$3:$E$47, 4,FALSE)),0)</f>
        <v>0</v>
      </c>
      <c r="X31" t="str">
        <f>IF(Y31=TRUE,IF(B31="","",VLOOKUP('Sequence Calculations'!B39, 'Molecular Weight'!$A$3:$B$47, 2,FALSE)),"")</f>
        <v/>
      </c>
      <c r="Y31" t="b">
        <v>0</v>
      </c>
      <c r="Z31" t="str">
        <f>IF(C31="","",VLOOKUP('Sequence Calculations'!B39,'AA Exact Masses'!A$2:F$52,6,FALSE))</f>
        <v/>
      </c>
      <c r="AA31" t="str">
        <f>IF(Y31=TRUE,IF(B31="","",VLOOKUP('Sequence Calculations'!B39,'AA Exact Masses'!A$3:N$52, 7,FALSE)),"")</f>
        <v/>
      </c>
      <c r="AB31" t="str">
        <f>IF(Y31=TRUE,IF(B31="","",VLOOKUP('Sequence Calculations'!B39,'AA Exact Masses'!A$3:N$52, 8,FALSE)),"")</f>
        <v/>
      </c>
      <c r="AC31" t="str">
        <f>IF(Y31=TRUE,IF(B31="","",VLOOKUP('Sequence Calculations'!B39,'AA Exact Masses'!A$3:N$52, 9,FALSE)),"")</f>
        <v/>
      </c>
      <c r="AD31" t="str">
        <f>IF(Y31=TRUE,IF(B31="","",VLOOKUP('Sequence Calculations'!B39,'AA Exact Masses'!A$3:N$52, 10,FALSE)),"")</f>
        <v/>
      </c>
      <c r="AE31" t="str">
        <f>IF(Y31=TRUE,IF(B31="","",VLOOKUP('Sequence Calculations'!B39,'AA Exact Masses'!A$3:N$52, 11,FALSE)),"")</f>
        <v/>
      </c>
      <c r="AF31" t="str">
        <f>IF(Y31=TRUE,IF(B31="","",VLOOKUP('Sequence Calculations'!B39,'AA Exact Masses'!A$3:N$52, 12,FALSE)),"")</f>
        <v/>
      </c>
      <c r="AG31" t="str">
        <f>IF(Y31=TRUE,IF(B31="","",VLOOKUP('Sequence Calculations'!B39,'AA Exact Masses'!A$3:N$52, 13,FALSE)),"")</f>
        <v/>
      </c>
      <c r="AH31" t="str">
        <f>IF(Y31=TRUE,IF(B31="","",VLOOKUP('Sequence Calculations'!B39,'AA Exact Masses'!A$3:N$52, 14,FALSE)),"")</f>
        <v/>
      </c>
    </row>
    <row r="32" spans="1:34" x14ac:dyDescent="0.25">
      <c r="A32" s="4" t="str">
        <f t="shared" si="0"/>
        <v/>
      </c>
      <c r="B32" s="11" t="str">
        <f>IF('Sequence Calculations'!B40="","",VLOOKUP('Sequence Calculations'!B40,'AA Exact Masses'!$A$3:$E$52,2,FALSE))</f>
        <v/>
      </c>
      <c r="C32" t="str">
        <f>IF(Y32=TRUE,IF(B32="","",VLOOKUP('Sequence Calculations'!B40, 'AA Exact Masses'!$A$3:$E$52, 3,FALSE)),"")</f>
        <v/>
      </c>
      <c r="D32" s="4" t="s">
        <v>311</v>
      </c>
      <c r="E32" t="str">
        <f>IF(Y32=TRUE,IF(B32="","",VLOOKUP('Sequence Calculations'!B40,'AA Exact Masses'!$A$3:$E$52,4,FALSE)),"")</f>
        <v/>
      </c>
      <c r="F32">
        <f>IF(D8="N-Me Amide", SUM(AA5:AA73)+1,SUM(AA5:AA73))</f>
        <v>85</v>
      </c>
      <c r="I32" s="5" t="s">
        <v>28</v>
      </c>
      <c r="J32" s="30">
        <f>J14-(18.01056/4)</f>
        <v>571.55978500000003</v>
      </c>
      <c r="K32" s="30">
        <f t="shared" ref="K32:N32" si="10">K14-(18.01056/4)</f>
        <v>577.05527999999993</v>
      </c>
      <c r="L32" s="30">
        <f t="shared" si="10"/>
        <v>582.55077500000004</v>
      </c>
      <c r="M32" s="30">
        <f t="shared" si="10"/>
        <v>588.04626999999994</v>
      </c>
      <c r="N32" s="30">
        <f t="shared" si="10"/>
        <v>593.54176499999994</v>
      </c>
      <c r="O32" s="31"/>
      <c r="W32">
        <f>IF(Y32=TRUE,IF(B32="","",VLOOKUP('Sequence Calculations'!B40, 'Molecular Weight'!$A$3:$E$47, 4,FALSE)),0)</f>
        <v>0</v>
      </c>
      <c r="X32" t="str">
        <f>IF(Y32=TRUE,IF(B32="","",VLOOKUP('Sequence Calculations'!B40, 'Molecular Weight'!$A$3:$B$47, 2,FALSE)),"")</f>
        <v/>
      </c>
      <c r="Y32" t="b">
        <v>0</v>
      </c>
      <c r="Z32" t="str">
        <f>IF(C32="","",VLOOKUP('Sequence Calculations'!B40,'AA Exact Masses'!A$2:F$52,6,FALSE))</f>
        <v/>
      </c>
      <c r="AA32" t="str">
        <f>IF(Y32=TRUE,IF(B32="","",VLOOKUP('Sequence Calculations'!B40,'AA Exact Masses'!A$3:N$52, 7,FALSE)),"")</f>
        <v/>
      </c>
      <c r="AB32" t="str">
        <f>IF(Y32=TRUE,IF(B32="","",VLOOKUP('Sequence Calculations'!B40,'AA Exact Masses'!A$3:N$52, 8,FALSE)),"")</f>
        <v/>
      </c>
      <c r="AC32" t="str">
        <f>IF(Y32=TRUE,IF(B32="","",VLOOKUP('Sequence Calculations'!B40,'AA Exact Masses'!A$3:N$52, 9,FALSE)),"")</f>
        <v/>
      </c>
      <c r="AD32" t="str">
        <f>IF(Y32=TRUE,IF(B32="","",VLOOKUP('Sequence Calculations'!B40,'AA Exact Masses'!A$3:N$52, 10,FALSE)),"")</f>
        <v/>
      </c>
      <c r="AE32" t="str">
        <f>IF(Y32=TRUE,IF(B32="","",VLOOKUP('Sequence Calculations'!B40,'AA Exact Masses'!A$3:N$52, 11,FALSE)),"")</f>
        <v/>
      </c>
      <c r="AF32" t="str">
        <f>IF(Y32=TRUE,IF(B32="","",VLOOKUP('Sequence Calculations'!B40,'AA Exact Masses'!A$3:N$52, 12,FALSE)),"")</f>
        <v/>
      </c>
      <c r="AG32" t="str">
        <f>IF(Y32=TRUE,IF(B32="","",VLOOKUP('Sequence Calculations'!B40,'AA Exact Masses'!A$3:N$52, 13,FALSE)),"")</f>
        <v/>
      </c>
      <c r="AH32" t="str">
        <f>IF(Y32=TRUE,IF(B32="","",VLOOKUP('Sequence Calculations'!B40,'AA Exact Masses'!A$3:N$52, 14,FALSE)),"")</f>
        <v/>
      </c>
    </row>
    <row r="33" spans="1:34" x14ac:dyDescent="0.25">
      <c r="A33" s="4" t="str">
        <f t="shared" si="0"/>
        <v/>
      </c>
      <c r="B33" s="11" t="str">
        <f>IF('Sequence Calculations'!B41="","",VLOOKUP('Sequence Calculations'!B41,'AA Exact Masses'!$A$3:$E$52,2,FALSE))</f>
        <v/>
      </c>
      <c r="C33" t="str">
        <f>IF(Y33=TRUE,IF(B33="","",VLOOKUP('Sequence Calculations'!B41, 'AA Exact Masses'!$A$3:$E$52, 3,FALSE)),"")</f>
        <v/>
      </c>
      <c r="D33" s="4" t="s">
        <v>312</v>
      </c>
      <c r="E33" t="str">
        <f>IF(Y33=TRUE,IF(B33="","",VLOOKUP('Sequence Calculations'!B41,'AA Exact Masses'!$A$3:$E$52,4,FALSE)),"")</f>
        <v/>
      </c>
      <c r="F33">
        <f>IF(D8="Rink",IF(D6="No",SUM(AB5:AB71)+3,SUM(AB5:AB71)),IF(D8="N-Me Amide", SUM(AB5:AB71)+5,IF(D6="No",SUM(AB5:AB71)+2,SUM(AB5:AB71))))</f>
        <v>136</v>
      </c>
      <c r="I33" s="5" t="s">
        <v>491</v>
      </c>
      <c r="J33" s="32">
        <f>J15-(18.01056/4)</f>
        <v>468.48915749999998</v>
      </c>
      <c r="K33" s="32">
        <f t="shared" ref="K33:N33" si="11">K15-(18.01056/4)</f>
        <v>473.98465250000004</v>
      </c>
      <c r="L33" s="32">
        <f t="shared" si="11"/>
        <v>479.48014749999999</v>
      </c>
      <c r="M33" s="32">
        <f t="shared" si="11"/>
        <v>484.97564249999999</v>
      </c>
      <c r="N33" s="32">
        <f t="shared" si="11"/>
        <v>490.4711375</v>
      </c>
      <c r="O33" s="31"/>
      <c r="W33">
        <f>IF(Y33=TRUE,IF(B33="","",VLOOKUP('Sequence Calculations'!B41, 'Molecular Weight'!$A$3:$E$47, 4,FALSE)),0)</f>
        <v>0</v>
      </c>
      <c r="X33" t="str">
        <f>IF(Y33=TRUE,IF(B33="","",VLOOKUP('Sequence Calculations'!B41, 'Molecular Weight'!$A$3:$B$47, 2,FALSE)),"")</f>
        <v/>
      </c>
      <c r="Y33" t="b">
        <v>0</v>
      </c>
      <c r="Z33" t="str">
        <f>IF(C33="","",VLOOKUP('Sequence Calculations'!B41,'AA Exact Masses'!A$2:F$52,6,FALSE))</f>
        <v/>
      </c>
      <c r="AA33" t="str">
        <f>IF(Y33=TRUE,IF(B33="","",VLOOKUP('Sequence Calculations'!B41,'AA Exact Masses'!A$3:N$52, 7,FALSE)),"")</f>
        <v/>
      </c>
      <c r="AB33" t="str">
        <f>IF(Y33=TRUE,IF(B33="","",VLOOKUP('Sequence Calculations'!B41,'AA Exact Masses'!A$3:N$52, 8,FALSE)),"")</f>
        <v/>
      </c>
      <c r="AC33" t="str">
        <f>IF(Y33=TRUE,IF(B33="","",VLOOKUP('Sequence Calculations'!B41,'AA Exact Masses'!A$3:N$52, 9,FALSE)),"")</f>
        <v/>
      </c>
      <c r="AD33" t="str">
        <f>IF(Y33=TRUE,IF(B33="","",VLOOKUP('Sequence Calculations'!B41,'AA Exact Masses'!A$3:N$52, 10,FALSE)),"")</f>
        <v/>
      </c>
      <c r="AE33" t="str">
        <f>IF(Y33=TRUE,IF(B33="","",VLOOKUP('Sequence Calculations'!B41,'AA Exact Masses'!A$3:N$52, 11,FALSE)),"")</f>
        <v/>
      </c>
      <c r="AF33" t="str">
        <f>IF(Y33=TRUE,IF(B33="","",VLOOKUP('Sequence Calculations'!B41,'AA Exact Masses'!A$3:N$52, 12,FALSE)),"")</f>
        <v/>
      </c>
      <c r="AG33" t="str">
        <f>IF(Y33=TRUE,IF(B33="","",VLOOKUP('Sequence Calculations'!B41,'AA Exact Masses'!A$3:N$52, 13,FALSE)),"")</f>
        <v/>
      </c>
      <c r="AH33" t="str">
        <f>IF(Y33=TRUE,IF(B33="","",VLOOKUP('Sequence Calculations'!B41,'AA Exact Masses'!A$3:N$52, 14,FALSE)),"")</f>
        <v/>
      </c>
    </row>
    <row r="34" spans="1:34" x14ac:dyDescent="0.25">
      <c r="A34" s="4" t="str">
        <f t="shared" si="0"/>
        <v/>
      </c>
      <c r="B34" s="11" t="str">
        <f>IF('Sequence Calculations'!B42="","",VLOOKUP('Sequence Calculations'!B42,'AA Exact Masses'!$A$3:$E$52,2,FALSE))</f>
        <v/>
      </c>
      <c r="C34" t="str">
        <f>IF(Y34=TRUE,IF(B34="","",VLOOKUP('Sequence Calculations'!B42, 'AA Exact Masses'!$A$3:$E$52, 3,FALSE)),"")</f>
        <v/>
      </c>
      <c r="D34" s="4" t="s">
        <v>321</v>
      </c>
      <c r="E34" t="str">
        <f>IF(Y34=TRUE,IF(B34="","",VLOOKUP('Sequence Calculations'!B42,'AA Exact Masses'!$A$3:$E$52,4,FALSE)),"")</f>
        <v/>
      </c>
      <c r="F34">
        <f>IF(D8="Rink",SUM(AC5:AC73)+1,IF(D8="N-Me Amide", SUM(AC5:AC73)+1,SUM(AC5:AC73)))</f>
        <v>19</v>
      </c>
      <c r="I34" s="4"/>
      <c r="J34" s="33" t="s">
        <v>351</v>
      </c>
      <c r="K34" s="33" t="s">
        <v>352</v>
      </c>
      <c r="L34" s="33" t="s">
        <v>353</v>
      </c>
      <c r="M34" s="33" t="s">
        <v>354</v>
      </c>
      <c r="N34" s="33" t="s">
        <v>355</v>
      </c>
      <c r="O34" s="33" t="s">
        <v>356</v>
      </c>
      <c r="W34">
        <f>IF(Y34=TRUE,IF(B34="","",VLOOKUP('Sequence Calculations'!B42, 'Molecular Weight'!$A$3:$E$47, 4,FALSE)),0)</f>
        <v>0</v>
      </c>
      <c r="X34" t="str">
        <f>IF(Y34=TRUE,IF(B34="","",VLOOKUP('Sequence Calculations'!B42, 'Molecular Weight'!$A$3:$B$47, 2,FALSE)),"")</f>
        <v/>
      </c>
      <c r="Y34" t="b">
        <v>0</v>
      </c>
      <c r="Z34" t="str">
        <f>IF(C34="","",VLOOKUP('Sequence Calculations'!B42,'AA Exact Masses'!A$2:F$52,6,FALSE))</f>
        <v/>
      </c>
      <c r="AA34" t="str">
        <f>IF(Y34=TRUE,IF(B34="","",VLOOKUP('Sequence Calculations'!B42,'AA Exact Masses'!A$3:N$52, 7,FALSE)),"")</f>
        <v/>
      </c>
      <c r="AB34" t="str">
        <f>IF(Y34=TRUE,IF(B34="","",VLOOKUP('Sequence Calculations'!B42,'AA Exact Masses'!A$3:N$52, 8,FALSE)),"")</f>
        <v/>
      </c>
      <c r="AC34" t="str">
        <f>IF(Y34=TRUE,IF(B34="","",VLOOKUP('Sequence Calculations'!B42,'AA Exact Masses'!A$3:N$52, 9,FALSE)),"")</f>
        <v/>
      </c>
      <c r="AD34" t="str">
        <f>IF(Y34=TRUE,IF(B34="","",VLOOKUP('Sequence Calculations'!B42,'AA Exact Masses'!A$3:N$52, 10,FALSE)),"")</f>
        <v/>
      </c>
      <c r="AE34" t="str">
        <f>IF(Y34=TRUE,IF(B34="","",VLOOKUP('Sequence Calculations'!B42,'AA Exact Masses'!A$3:N$52, 11,FALSE)),"")</f>
        <v/>
      </c>
      <c r="AF34" t="str">
        <f>IF(Y34=TRUE,IF(B34="","",VLOOKUP('Sequence Calculations'!B42,'AA Exact Masses'!A$3:N$52, 12,FALSE)),"")</f>
        <v/>
      </c>
      <c r="AG34" t="str">
        <f>IF(Y34=TRUE,IF(B34="","",VLOOKUP('Sequence Calculations'!B42,'AA Exact Masses'!A$3:N$52, 13,FALSE)),"")</f>
        <v/>
      </c>
      <c r="AH34" t="str">
        <f>IF(Y34=TRUE,IF(B34="","",VLOOKUP('Sequence Calculations'!B42,'AA Exact Masses'!A$3:N$52, 14,FALSE)),"")</f>
        <v/>
      </c>
    </row>
    <row r="35" spans="1:34" x14ac:dyDescent="0.25">
      <c r="A35" s="4" t="str">
        <f t="shared" si="0"/>
        <v/>
      </c>
      <c r="B35" s="11" t="str">
        <f>IF('Sequence Calculations'!B43="","",VLOOKUP('Sequence Calculations'!B43,'AA Exact Masses'!$A$3:$E$52,2,FALSE))</f>
        <v/>
      </c>
      <c r="C35" t="str">
        <f>IF(Y35=TRUE,IF(B35="","",VLOOKUP('Sequence Calculations'!B43, 'AA Exact Masses'!$A$3:$E$52, 3,FALSE)),"")</f>
        <v/>
      </c>
      <c r="D35" s="4" t="s">
        <v>322</v>
      </c>
      <c r="E35" t="str">
        <f>IF(Y35=TRUE,IF(B35="","",VLOOKUP('Sequence Calculations'!B43,'AA Exact Masses'!$A$3:$E$52,4,FALSE)),"")</f>
        <v/>
      </c>
      <c r="F35">
        <f>IF(D8="Rink",SUM(AD5:AD67),IF(D8="N-Me Amide",SUM(AD5:AD67),IF(D6="No",SUM(AD5:AD67)+1,SUM(AD5:AD67))))</f>
        <v>20</v>
      </c>
      <c r="I35" s="5" t="s">
        <v>28</v>
      </c>
      <c r="J35" s="30">
        <f>J17-(18.01056/5)</f>
        <v>457.44939200000005</v>
      </c>
      <c r="K35" s="30">
        <f t="shared" ref="K35:O35" si="12">K17-(18.01056/5)</f>
        <v>461.84578800000003</v>
      </c>
      <c r="L35" s="30">
        <f t="shared" si="12"/>
        <v>466.24218400000007</v>
      </c>
      <c r="M35" s="30">
        <f t="shared" si="12"/>
        <v>470.63858000000005</v>
      </c>
      <c r="N35" s="30">
        <f t="shared" si="12"/>
        <v>475.03497599999997</v>
      </c>
      <c r="O35" s="30">
        <f t="shared" si="12"/>
        <v>479.43137200000007</v>
      </c>
      <c r="W35">
        <f>IF(Y35=TRUE,IF(B35="","",VLOOKUP('Sequence Calculations'!B43, 'Molecular Weight'!$A$3:$E$47, 4,FALSE)),0)</f>
        <v>0</v>
      </c>
      <c r="X35" t="str">
        <f>IF(Y35=TRUE,IF(B35="","",VLOOKUP('Sequence Calculations'!B43, 'Molecular Weight'!$A$3:$B$47, 2,FALSE)),"")</f>
        <v/>
      </c>
      <c r="Y35" t="b">
        <v>0</v>
      </c>
      <c r="Z35" t="str">
        <f>IF(C35="","",VLOOKUP('Sequence Calculations'!B43,'AA Exact Masses'!A$2:F$52,6,FALSE))</f>
        <v/>
      </c>
      <c r="AA35" t="str">
        <f>IF(Y35=TRUE,IF(B35="","",VLOOKUP('Sequence Calculations'!B43,'AA Exact Masses'!A$3:N$52, 7,FALSE)),"")</f>
        <v/>
      </c>
      <c r="AB35" t="str">
        <f>IF(Y35=TRUE,IF(B35="","",VLOOKUP('Sequence Calculations'!B43,'AA Exact Masses'!A$3:N$52, 8,FALSE)),"")</f>
        <v/>
      </c>
      <c r="AC35" t="str">
        <f>IF(Y35=TRUE,IF(B35="","",VLOOKUP('Sequence Calculations'!B43,'AA Exact Masses'!A$3:N$52, 9,FALSE)),"")</f>
        <v/>
      </c>
      <c r="AD35" t="str">
        <f>IF(Y35=TRUE,IF(B35="","",VLOOKUP('Sequence Calculations'!B43,'AA Exact Masses'!A$3:N$52, 10,FALSE)),"")</f>
        <v/>
      </c>
      <c r="AE35" t="str">
        <f>IF(Y35=TRUE,IF(B35="","",VLOOKUP('Sequence Calculations'!B43,'AA Exact Masses'!A$3:N$52, 11,FALSE)),"")</f>
        <v/>
      </c>
      <c r="AF35" t="str">
        <f>IF(Y35=TRUE,IF(B35="","",VLOOKUP('Sequence Calculations'!B43,'AA Exact Masses'!A$3:N$52, 12,FALSE)),"")</f>
        <v/>
      </c>
      <c r="AG35" t="str">
        <f>IF(Y35=TRUE,IF(B35="","",VLOOKUP('Sequence Calculations'!B43,'AA Exact Masses'!A$3:N$52, 13,FALSE)),"")</f>
        <v/>
      </c>
      <c r="AH35" t="str">
        <f>IF(Y35=TRUE,IF(B35="","",VLOOKUP('Sequence Calculations'!B43,'AA Exact Masses'!A$3:N$52, 14,FALSE)),"")</f>
        <v/>
      </c>
    </row>
    <row r="36" spans="1:34" x14ac:dyDescent="0.25">
      <c r="A36" s="4" t="str">
        <f t="shared" si="0"/>
        <v/>
      </c>
      <c r="B36" s="11" t="str">
        <f>IF('Sequence Calculations'!B44="","",VLOOKUP('Sequence Calculations'!B44,'AA Exact Masses'!$A$3:$E$52,2,FALSE))</f>
        <v/>
      </c>
      <c r="C36" t="str">
        <f>IF(Y36=TRUE,IF(B36="","",VLOOKUP('Sequence Calculations'!B44, 'AA Exact Masses'!$A$3:$E$52, 3,FALSE)),"")</f>
        <v/>
      </c>
      <c r="D36" s="4" t="s">
        <v>315</v>
      </c>
      <c r="E36" t="str">
        <f>IF(Y36=TRUE,IF(B36="","",VLOOKUP('Sequence Calculations'!B44,'AA Exact Masses'!$A$3:$E$52,4,FALSE)),"")</f>
        <v/>
      </c>
      <c r="F36">
        <f>SUM(AE5:AE67)</f>
        <v>0</v>
      </c>
      <c r="I36" s="5" t="s">
        <v>491</v>
      </c>
      <c r="J36" s="32">
        <f>J18-(18.01056/5)</f>
        <v>374.99288999999999</v>
      </c>
      <c r="K36" s="32">
        <f t="shared" ref="K36:O36" si="13">K18-(18.01056/5)</f>
        <v>379.38928600000003</v>
      </c>
      <c r="L36" s="32">
        <f t="shared" si="13"/>
        <v>383.78568200000001</v>
      </c>
      <c r="M36" s="32">
        <f t="shared" si="13"/>
        <v>388.18207799999999</v>
      </c>
      <c r="N36" s="32">
        <f t="shared" si="13"/>
        <v>392.57847400000003</v>
      </c>
      <c r="O36" s="32">
        <f t="shared" si="13"/>
        <v>396.97487000000001</v>
      </c>
      <c r="W36">
        <f>IF(Y36=TRUE,IF(B36="","",VLOOKUP('Sequence Calculations'!B44, 'Molecular Weight'!$A$3:$E$47, 4,FALSE)),0)</f>
        <v>0</v>
      </c>
      <c r="X36" t="str">
        <f>IF(Y36=TRUE,IF(B36="","",VLOOKUP('Sequence Calculations'!B44, 'Molecular Weight'!$A$3:$B$47, 2,FALSE)),"")</f>
        <v/>
      </c>
      <c r="Y36" t="b">
        <v>0</v>
      </c>
      <c r="Z36" t="str">
        <f>IF(C36="","",VLOOKUP('Sequence Calculations'!B44,'AA Exact Masses'!A$2:F$52,6,FALSE))</f>
        <v/>
      </c>
      <c r="AA36" t="str">
        <f>IF(Y36=TRUE,IF(B36="","",VLOOKUP('Sequence Calculations'!B44,'AA Exact Masses'!A$3:N$52, 7,FALSE)),"")</f>
        <v/>
      </c>
      <c r="AB36" t="str">
        <f>IF(Y36=TRUE,IF(B36="","",VLOOKUP('Sequence Calculations'!B44,'AA Exact Masses'!A$3:N$52, 8,FALSE)),"")</f>
        <v/>
      </c>
      <c r="AC36" t="str">
        <f>IF(Y36=TRUE,IF(B36="","",VLOOKUP('Sequence Calculations'!B44,'AA Exact Masses'!A$3:N$52, 9,FALSE)),"")</f>
        <v/>
      </c>
      <c r="AD36" t="str">
        <f>IF(Y36=TRUE,IF(B36="","",VLOOKUP('Sequence Calculations'!B44,'AA Exact Masses'!A$3:N$52, 10,FALSE)),"")</f>
        <v/>
      </c>
      <c r="AE36" t="str">
        <f>IF(Y36=TRUE,IF(B36="","",VLOOKUP('Sequence Calculations'!B44,'AA Exact Masses'!A$3:N$52, 11,FALSE)),"")</f>
        <v/>
      </c>
      <c r="AF36" t="str">
        <f>IF(Y36=TRUE,IF(B36="","",VLOOKUP('Sequence Calculations'!B44,'AA Exact Masses'!A$3:N$52, 12,FALSE)),"")</f>
        <v/>
      </c>
      <c r="AG36" t="str">
        <f>IF(Y36=TRUE,IF(B36="","",VLOOKUP('Sequence Calculations'!B44,'AA Exact Masses'!A$3:N$52, 13,FALSE)),"")</f>
        <v/>
      </c>
      <c r="AH36" t="str">
        <f>IF(Y36=TRUE,IF(B36="","",VLOOKUP('Sequence Calculations'!B44,'AA Exact Masses'!A$3:N$52, 14,FALSE)),"")</f>
        <v/>
      </c>
    </row>
    <row r="37" spans="1:34" x14ac:dyDescent="0.25">
      <c r="A37" s="4" t="str">
        <f t="shared" ref="A37:A62" si="14">IF(B37="","",A36+1)</f>
        <v/>
      </c>
      <c r="B37" s="11" t="str">
        <f>IF('Sequence Calculations'!B45="","",VLOOKUP('Sequence Calculations'!B45,'AA Exact Masses'!$A$3:$E$52,2,FALSE))</f>
        <v/>
      </c>
      <c r="C37" t="str">
        <f>IF(Y37=TRUE,IF(B37="","",VLOOKUP('Sequence Calculations'!B45, 'AA Exact Masses'!$A$3:$E$52, 3,FALSE)),"")</f>
        <v/>
      </c>
      <c r="D37" s="4" t="s">
        <v>316</v>
      </c>
      <c r="E37" t="str">
        <f>IF(Y37=TRUE,IF(B37="","",VLOOKUP('Sequence Calculations'!B45,'AA Exact Masses'!$A$3:$E$52,4,FALSE)),"")</f>
        <v/>
      </c>
      <c r="F37">
        <f>SUM(AF5:AF60)</f>
        <v>0</v>
      </c>
      <c r="W37">
        <f>IF(Y37=TRUE,IF(B37="","",VLOOKUP('Sequence Calculations'!B45, 'Molecular Weight'!$A$3:$E$47, 4,FALSE)),0)</f>
        <v>0</v>
      </c>
      <c r="X37" t="str">
        <f>IF(Y37=TRUE,IF(B37="","",VLOOKUP('Sequence Calculations'!B45, 'Molecular Weight'!$A$3:$B$47, 2,FALSE)),"")</f>
        <v/>
      </c>
      <c r="Y37" t="b">
        <v>0</v>
      </c>
      <c r="Z37" t="str">
        <f>IF(C37="","",VLOOKUP('Sequence Calculations'!B45,'AA Exact Masses'!A$2:F$52,6,FALSE))</f>
        <v/>
      </c>
      <c r="AA37" t="str">
        <f>IF(Y37=TRUE,IF(B37="","",VLOOKUP('Sequence Calculations'!B45,'AA Exact Masses'!A$3:N$52, 7,FALSE)),"")</f>
        <v/>
      </c>
      <c r="AB37" t="str">
        <f>IF(Y37=TRUE,IF(B37="","",VLOOKUP('Sequence Calculations'!B45,'AA Exact Masses'!A$3:N$52, 8,FALSE)),"")</f>
        <v/>
      </c>
      <c r="AC37" t="str">
        <f>IF(Y37=TRUE,IF(B37="","",VLOOKUP('Sequence Calculations'!B45,'AA Exact Masses'!A$3:N$52, 9,FALSE)),"")</f>
        <v/>
      </c>
      <c r="AD37" t="str">
        <f>IF(Y37=TRUE,IF(B37="","",VLOOKUP('Sequence Calculations'!B45,'AA Exact Masses'!A$3:N$52, 10,FALSE)),"")</f>
        <v/>
      </c>
      <c r="AE37" t="str">
        <f>IF(Y37=TRUE,IF(B37="","",VLOOKUP('Sequence Calculations'!B45,'AA Exact Masses'!A$3:N$52, 11,FALSE)),"")</f>
        <v/>
      </c>
      <c r="AF37" t="str">
        <f>IF(Y37=TRUE,IF(B37="","",VLOOKUP('Sequence Calculations'!B45,'AA Exact Masses'!A$3:N$52, 12,FALSE)),"")</f>
        <v/>
      </c>
      <c r="AG37" t="str">
        <f>IF(Y37=TRUE,IF(B37="","",VLOOKUP('Sequence Calculations'!B45,'AA Exact Masses'!A$3:N$52, 13,FALSE)),"")</f>
        <v/>
      </c>
      <c r="AH37" t="str">
        <f>IF(Y37=TRUE,IF(B37="","",VLOOKUP('Sequence Calculations'!B45,'AA Exact Masses'!A$3:N$52, 14,FALSE)),"")</f>
        <v/>
      </c>
    </row>
    <row r="38" spans="1:34" x14ac:dyDescent="0.25">
      <c r="A38" s="4" t="str">
        <f t="shared" si="14"/>
        <v/>
      </c>
      <c r="B38" s="11" t="str">
        <f>IF('Sequence Calculations'!B46="","",VLOOKUP('Sequence Calculations'!B46,'AA Exact Masses'!$A$3:$E$52,2,FALSE))</f>
        <v/>
      </c>
      <c r="C38" t="str">
        <f>IF(Y38=TRUE,IF(B38="","",VLOOKUP('Sequence Calculations'!B46, 'AA Exact Masses'!$A$3:$E$52, 3,FALSE)),"")</f>
        <v/>
      </c>
      <c r="D38" s="4" t="s">
        <v>317</v>
      </c>
      <c r="E38" t="str">
        <f>IF(Y38=TRUE,IF(B38="","",VLOOKUP('Sequence Calculations'!B46,'AA Exact Masses'!$A$3:$E$52,4,FALSE)),"")</f>
        <v/>
      </c>
      <c r="F38">
        <f>SUM(AG5:AG71)</f>
        <v>1</v>
      </c>
      <c r="W38">
        <f>IF(Y38=TRUE,IF(B38="","",VLOOKUP('Sequence Calculations'!B46, 'Molecular Weight'!$A$3:$E$47, 4,FALSE)),0)</f>
        <v>0</v>
      </c>
      <c r="X38" t="str">
        <f>IF(Y38=TRUE,IF(B38="","",VLOOKUP('Sequence Calculations'!B46, 'Molecular Weight'!$A$3:$B$47, 2,FALSE)),"")</f>
        <v/>
      </c>
      <c r="Y38" t="b">
        <v>0</v>
      </c>
      <c r="Z38" t="str">
        <f>IF(C38="","",VLOOKUP('Sequence Calculations'!B46,'AA Exact Masses'!A$2:F$52,6,FALSE))</f>
        <v/>
      </c>
      <c r="AA38" t="str">
        <f>IF(Y38=TRUE,IF(B38="","",VLOOKUP('Sequence Calculations'!B46,'AA Exact Masses'!A$3:N$52, 7,FALSE)),"")</f>
        <v/>
      </c>
      <c r="AB38" t="str">
        <f>IF(Y38=TRUE,IF(B38="","",VLOOKUP('Sequence Calculations'!B46,'AA Exact Masses'!A$3:N$52, 8,FALSE)),"")</f>
        <v/>
      </c>
      <c r="AC38" t="str">
        <f>IF(Y38=TRUE,IF(B38="","",VLOOKUP('Sequence Calculations'!B46,'AA Exact Masses'!A$3:N$52, 9,FALSE)),"")</f>
        <v/>
      </c>
      <c r="AD38" t="str">
        <f>IF(Y38=TRUE,IF(B38="","",VLOOKUP('Sequence Calculations'!B46,'AA Exact Masses'!A$3:N$52, 10,FALSE)),"")</f>
        <v/>
      </c>
      <c r="AE38" t="str">
        <f>IF(Y38=TRUE,IF(B38="","",VLOOKUP('Sequence Calculations'!B46,'AA Exact Masses'!A$3:N$52, 11,FALSE)),"")</f>
        <v/>
      </c>
      <c r="AF38" t="str">
        <f>IF(Y38=TRUE,IF(B38="","",VLOOKUP('Sequence Calculations'!B46,'AA Exact Masses'!A$3:N$52, 12,FALSE)),"")</f>
        <v/>
      </c>
      <c r="AG38" t="str">
        <f>IF(Y38=TRUE,IF(B38="","",VLOOKUP('Sequence Calculations'!B46,'AA Exact Masses'!A$3:N$52, 13,FALSE)),"")</f>
        <v/>
      </c>
      <c r="AH38" t="str">
        <f>IF(Y38=TRUE,IF(B38="","",VLOOKUP('Sequence Calculations'!B46,'AA Exact Masses'!A$3:N$52, 14,FALSE)),"")</f>
        <v/>
      </c>
    </row>
    <row r="39" spans="1:34" x14ac:dyDescent="0.25">
      <c r="A39" s="4" t="str">
        <f t="shared" si="14"/>
        <v/>
      </c>
      <c r="B39" s="11" t="str">
        <f>IF('Sequence Calculations'!B47="","",VLOOKUP('Sequence Calculations'!B47,'AA Exact Masses'!$A$3:$E$52,2,FALSE))</f>
        <v/>
      </c>
      <c r="C39" t="str">
        <f>IF(Y39=TRUE,IF(B39="","",VLOOKUP('Sequence Calculations'!B47, 'AA Exact Masses'!$A$3:$E$52, 3,FALSE)),"")</f>
        <v/>
      </c>
      <c r="D39" s="4" t="s">
        <v>324</v>
      </c>
      <c r="E39" t="str">
        <f>IF(Y39=TRUE,IF(B39="","",VLOOKUP('Sequence Calculations'!B47,'AA Exact Masses'!$A$3:$E$52,4,FALSE)),"")</f>
        <v/>
      </c>
      <c r="F39">
        <f>SUM(AH5:AH74)</f>
        <v>0</v>
      </c>
      <c r="W39">
        <f>IF(Y39=TRUE,IF(B39="","",VLOOKUP('Sequence Calculations'!B47, 'Molecular Weight'!$A$3:$E$47, 4,FALSE)),0)</f>
        <v>0</v>
      </c>
      <c r="X39" t="str">
        <f>IF(Y39=TRUE,IF(B39="","",VLOOKUP('Sequence Calculations'!B47, 'Molecular Weight'!$A$3:$B$47, 2,FALSE)),"")</f>
        <v/>
      </c>
      <c r="Y39" t="b">
        <v>0</v>
      </c>
      <c r="Z39" t="str">
        <f>IF(C39="","",VLOOKUP('Sequence Calculations'!B47,'AA Exact Masses'!A$2:F$52,6,FALSE))</f>
        <v/>
      </c>
      <c r="AA39" t="str">
        <f>IF(Y39=TRUE,IF(B39="","",VLOOKUP('Sequence Calculations'!B47,'AA Exact Masses'!A$3:N$52, 7,FALSE)),"")</f>
        <v/>
      </c>
      <c r="AB39" t="str">
        <f>IF(Y39=TRUE,IF(B39="","",VLOOKUP('Sequence Calculations'!B47,'AA Exact Masses'!A$3:N$52, 8,FALSE)),"")</f>
        <v/>
      </c>
      <c r="AC39" t="str">
        <f>IF(Y39=TRUE,IF(B39="","",VLOOKUP('Sequence Calculations'!B47,'AA Exact Masses'!A$3:N$52, 9,FALSE)),"")</f>
        <v/>
      </c>
      <c r="AD39" t="str">
        <f>IF(Y39=TRUE,IF(B39="","",VLOOKUP('Sequence Calculations'!B47,'AA Exact Masses'!A$3:N$52, 10,FALSE)),"")</f>
        <v/>
      </c>
      <c r="AE39" t="str">
        <f>IF(Y39=TRUE,IF(B39="","",VLOOKUP('Sequence Calculations'!B47,'AA Exact Masses'!A$3:N$52, 11,FALSE)),"")</f>
        <v/>
      </c>
      <c r="AF39" t="str">
        <f>IF(Y39=TRUE,IF(B39="","",VLOOKUP('Sequence Calculations'!B47,'AA Exact Masses'!A$3:N$52, 12,FALSE)),"")</f>
        <v/>
      </c>
      <c r="AG39" t="str">
        <f>IF(Y39=TRUE,IF(B39="","",VLOOKUP('Sequence Calculations'!B47,'AA Exact Masses'!A$3:N$52, 13,FALSE)),"")</f>
        <v/>
      </c>
      <c r="AH39" t="str">
        <f>IF(Y39=TRUE,IF(B39="","",VLOOKUP('Sequence Calculations'!B47,'AA Exact Masses'!A$3:N$52, 14,FALSE)),"")</f>
        <v/>
      </c>
    </row>
    <row r="40" spans="1:34" x14ac:dyDescent="0.25">
      <c r="A40" s="4" t="str">
        <f t="shared" si="14"/>
        <v/>
      </c>
      <c r="B40" s="11" t="str">
        <f>IF('Sequence Calculations'!B48="","",VLOOKUP('Sequence Calculations'!B48,'AA Exact Masses'!$A$3:$E$52,2,FALSE))</f>
        <v/>
      </c>
      <c r="C40" t="str">
        <f>IF(Y40=TRUE,IF(B40="","",VLOOKUP('Sequence Calculations'!B48, 'AA Exact Masses'!$A$3:$E$52, 3,FALSE)),"")</f>
        <v/>
      </c>
      <c r="D40" s="4" t="s">
        <v>323</v>
      </c>
      <c r="E40" t="str">
        <f>IF(Y40=TRUE,IF(B40="","",VLOOKUP('Sequence Calculations'!B48,'AA Exact Masses'!$A$3:$E$52,4,FALSE)),"")</f>
        <v/>
      </c>
      <c r="F40">
        <f>F32*12+F33*1.007825+F34*14.003074+F35*15.994915+F36*31.972072+F37*78.918336+F38*126.904477+F39*18.998403</f>
        <v>1869.925383</v>
      </c>
      <c r="W40">
        <f>IF(Y40=TRUE,IF(B40="","",VLOOKUP('Sequence Calculations'!B48, 'Molecular Weight'!$A$3:$E$47, 4,FALSE)),0)</f>
        <v>0</v>
      </c>
      <c r="X40" t="str">
        <f>IF(Y40=TRUE,IF(B40="","",VLOOKUP('Sequence Calculations'!B48, 'Molecular Weight'!$A$3:$B$47, 2,FALSE)),"")</f>
        <v/>
      </c>
      <c r="Y40" t="b">
        <v>0</v>
      </c>
      <c r="Z40" t="str">
        <f>IF(C40="","",VLOOKUP('Sequence Calculations'!B48,'AA Exact Masses'!A$2:F$52,6,FALSE))</f>
        <v/>
      </c>
      <c r="AA40" t="str">
        <f>IF(Y40=TRUE,IF(B40="","",VLOOKUP('Sequence Calculations'!B48,'AA Exact Masses'!A$3:N$52, 7,FALSE)),"")</f>
        <v/>
      </c>
      <c r="AB40" t="str">
        <f>IF(Y40=TRUE,IF(B40="","",VLOOKUP('Sequence Calculations'!B48,'AA Exact Masses'!A$3:N$52, 8,FALSE)),"")</f>
        <v/>
      </c>
      <c r="AC40" t="str">
        <f>IF(Y40=TRUE,IF(B40="","",VLOOKUP('Sequence Calculations'!B48,'AA Exact Masses'!A$3:N$52, 9,FALSE)),"")</f>
        <v/>
      </c>
      <c r="AD40" t="str">
        <f>IF(Y40=TRUE,IF(B40="","",VLOOKUP('Sequence Calculations'!B48,'AA Exact Masses'!A$3:N$52, 10,FALSE)),"")</f>
        <v/>
      </c>
      <c r="AE40" t="str">
        <f>IF(Y40=TRUE,IF(B40="","",VLOOKUP('Sequence Calculations'!B48,'AA Exact Masses'!A$3:N$52, 11,FALSE)),"")</f>
        <v/>
      </c>
      <c r="AF40" t="str">
        <f>IF(Y40=TRUE,IF(B40="","",VLOOKUP('Sequence Calculations'!B48,'AA Exact Masses'!A$3:N$52, 12,FALSE)),"")</f>
        <v/>
      </c>
      <c r="AG40" t="str">
        <f>IF(Y40=TRUE,IF(B40="","",VLOOKUP('Sequence Calculations'!B48,'AA Exact Masses'!A$3:N$52, 13,FALSE)),"")</f>
        <v/>
      </c>
      <c r="AH40" t="str">
        <f>IF(Y40=TRUE,IF(B40="","",VLOOKUP('Sequence Calculations'!B48,'AA Exact Masses'!A$3:N$52, 14,FALSE)),"")</f>
        <v/>
      </c>
    </row>
    <row r="41" spans="1:34" x14ac:dyDescent="0.25">
      <c r="A41" s="4" t="str">
        <f t="shared" si="14"/>
        <v/>
      </c>
      <c r="B41" s="11" t="str">
        <f>IF('Sequence Calculations'!B49="","",VLOOKUP('Sequence Calculations'!B49,'AA Exact Masses'!$A$3:$E$52,2,FALSE))</f>
        <v/>
      </c>
      <c r="C41" t="str">
        <f>IF(Y41=TRUE,IF(B41="","",VLOOKUP('Sequence Calculations'!B49, 'AA Exact Masses'!$A$3:$E$52, 3,FALSE)),"")</f>
        <v/>
      </c>
      <c r="E41" t="str">
        <f>IF(Y41=TRUE,IF(B41="","",VLOOKUP('Sequence Calculations'!B49,'AA Exact Masses'!$A$3:$E$52,4,FALSE)),"")</f>
        <v/>
      </c>
      <c r="W41">
        <f>IF(Y41=TRUE,IF(B41="","",VLOOKUP('Sequence Calculations'!B49, 'Molecular Weight'!$A$3:$E$47, 4,FALSE)),0)</f>
        <v>0</v>
      </c>
      <c r="X41" t="str">
        <f>IF(Y41=TRUE,IF(B41="","",VLOOKUP('Sequence Calculations'!B49, 'Molecular Weight'!$A$3:$B$47, 2,FALSE)),"")</f>
        <v/>
      </c>
      <c r="Y41" t="b">
        <v>0</v>
      </c>
      <c r="Z41" t="str">
        <f>IF(C41="","",VLOOKUP('Sequence Calculations'!B49,'AA Exact Masses'!A$2:F$52,6,FALSE))</f>
        <v/>
      </c>
      <c r="AA41" t="str">
        <f>IF(Y41=TRUE,IF(B41="","",VLOOKUP('Sequence Calculations'!B49,'AA Exact Masses'!A$3:N$52, 7,FALSE)),"")</f>
        <v/>
      </c>
      <c r="AB41" t="str">
        <f>IF(Y41=TRUE,IF(B41="","",VLOOKUP('Sequence Calculations'!B49,'AA Exact Masses'!A$3:N$52, 8,FALSE)),"")</f>
        <v/>
      </c>
      <c r="AC41" t="str">
        <f>IF(Y41=TRUE,IF(B41="","",VLOOKUP('Sequence Calculations'!B49,'AA Exact Masses'!A$3:N$52, 9,FALSE)),"")</f>
        <v/>
      </c>
      <c r="AD41" t="str">
        <f>IF(Y41=TRUE,IF(B41="","",VLOOKUP('Sequence Calculations'!B49,'AA Exact Masses'!A$3:N$52, 10,FALSE)),"")</f>
        <v/>
      </c>
      <c r="AE41" t="str">
        <f>IF(Y41=TRUE,IF(B41="","",VLOOKUP('Sequence Calculations'!B49,'AA Exact Masses'!A$3:N$52, 11,FALSE)),"")</f>
        <v/>
      </c>
      <c r="AF41" t="str">
        <f>IF(Y41=TRUE,IF(B41="","",VLOOKUP('Sequence Calculations'!B49,'AA Exact Masses'!A$3:N$52, 12,FALSE)),"")</f>
        <v/>
      </c>
      <c r="AG41" t="str">
        <f>IF(Y41=TRUE,IF(B41="","",VLOOKUP('Sequence Calculations'!B49,'AA Exact Masses'!A$3:N$52, 13,FALSE)),"")</f>
        <v/>
      </c>
      <c r="AH41" t="str">
        <f>IF(Y41=TRUE,IF(B41="","",VLOOKUP('Sequence Calculations'!B49,'AA Exact Masses'!A$3:N$52, 14,FALSE)),"")</f>
        <v/>
      </c>
    </row>
    <row r="42" spans="1:34" x14ac:dyDescent="0.25">
      <c r="A42" s="4" t="str">
        <f t="shared" si="14"/>
        <v/>
      </c>
      <c r="B42" s="11" t="str">
        <f>IF('Sequence Calculations'!B50="","",VLOOKUP('Sequence Calculations'!B50,'AA Exact Masses'!$A$3:$E$52,2,FALSE))</f>
        <v/>
      </c>
      <c r="C42" t="str">
        <f>IF(Y42=TRUE,IF(B42="","",VLOOKUP('Sequence Calculations'!B50, 'AA Exact Masses'!$A$3:$E$52, 3,FALSE)),"")</f>
        <v/>
      </c>
      <c r="E42" t="str">
        <f>IF(Y42=TRUE,IF(B42="","",VLOOKUP('Sequence Calculations'!B50,'AA Exact Masses'!$A$3:$E$52,4,FALSE)),"")</f>
        <v/>
      </c>
      <c r="F42" t="s">
        <v>492</v>
      </c>
      <c r="W42">
        <f>IF(Y42=TRUE,IF(B42="","",VLOOKUP('Sequence Calculations'!B50, 'Molecular Weight'!$A$3:$E$47, 4,FALSE)),0)</f>
        <v>0</v>
      </c>
      <c r="X42" t="str">
        <f>IF(Y42=TRUE,IF(B42="","",VLOOKUP('Sequence Calculations'!B50, 'Molecular Weight'!$A$3:$B$47, 2,FALSE)),"")</f>
        <v/>
      </c>
      <c r="Y42" t="b">
        <v>0</v>
      </c>
      <c r="Z42" t="str">
        <f>IF(C42="","",VLOOKUP('Sequence Calculations'!B50,'AA Exact Masses'!A$2:F$52,6,FALSE))</f>
        <v/>
      </c>
      <c r="AA42" t="str">
        <f>IF(Y42=TRUE,IF(B42="","",VLOOKUP('Sequence Calculations'!B50,'AA Exact Masses'!A$3:N$52, 7,FALSE)),"")</f>
        <v/>
      </c>
      <c r="AB42" t="str">
        <f>IF(Y42=TRUE,IF(B42="","",VLOOKUP('Sequence Calculations'!B50,'AA Exact Masses'!A$3:N$52, 8,FALSE)),"")</f>
        <v/>
      </c>
      <c r="AC42" t="str">
        <f>IF(Y42=TRUE,IF(B42="","",VLOOKUP('Sequence Calculations'!B50,'AA Exact Masses'!A$3:N$52, 9,FALSE)),"")</f>
        <v/>
      </c>
      <c r="AD42" t="str">
        <f>IF(Y42=TRUE,IF(B42="","",VLOOKUP('Sequence Calculations'!B50,'AA Exact Masses'!A$3:N$52, 10,FALSE)),"")</f>
        <v/>
      </c>
      <c r="AE42" t="str">
        <f>IF(Y42=TRUE,IF(B42="","",VLOOKUP('Sequence Calculations'!B50,'AA Exact Masses'!A$3:N$52, 11,FALSE)),"")</f>
        <v/>
      </c>
      <c r="AF42" t="str">
        <f>IF(Y42=TRUE,IF(B42="","",VLOOKUP('Sequence Calculations'!B50,'AA Exact Masses'!A$3:N$52, 12,FALSE)),"")</f>
        <v/>
      </c>
      <c r="AG42" t="str">
        <f>IF(Y42=TRUE,IF(B42="","",VLOOKUP('Sequence Calculations'!B50,'AA Exact Masses'!A$3:N$52, 13,FALSE)),"")</f>
        <v/>
      </c>
      <c r="AH42" t="str">
        <f>IF(Y42=TRUE,IF(B42="","",VLOOKUP('Sequence Calculations'!B50,'AA Exact Masses'!A$3:N$52, 14,FALSE)),"")</f>
        <v/>
      </c>
    </row>
    <row r="43" spans="1:34" x14ac:dyDescent="0.25">
      <c r="A43" s="4" t="str">
        <f t="shared" si="14"/>
        <v/>
      </c>
      <c r="B43" s="11" t="str">
        <f>IF('Sequence Calculations'!B51="","",VLOOKUP('Sequence Calculations'!B51,'AA Exact Masses'!$A$3:$E$52,2,FALSE))</f>
        <v/>
      </c>
      <c r="C43" t="str">
        <f>IF(Y43=TRUE,IF(B43="","",VLOOKUP('Sequence Calculations'!B51, 'AA Exact Masses'!$A$3:$E$52, 3,FALSE)),"")</f>
        <v/>
      </c>
      <c r="D43" s="4"/>
      <c r="E43" t="str">
        <f>IF(Y43=TRUE,IF(B43="","",VLOOKUP('Sequence Calculations'!B51,'AA Exact Masses'!$A$3:$E$52,4,FALSE)),"")</f>
        <v/>
      </c>
      <c r="F43" s="67" t="s">
        <v>493</v>
      </c>
      <c r="W43">
        <f>IF(Y43=TRUE,IF(B43="","",VLOOKUP('Sequence Calculations'!B51, 'Molecular Weight'!$A$3:$E$47, 4,FALSE)),0)</f>
        <v>0</v>
      </c>
      <c r="X43" t="str">
        <f>IF(Y43=TRUE,IF(B43="","",VLOOKUP('Sequence Calculations'!B51, 'Molecular Weight'!$A$3:$B$47, 2,FALSE)),"")</f>
        <v/>
      </c>
      <c r="Y43" t="b">
        <v>0</v>
      </c>
      <c r="Z43" t="str">
        <f>IF(C43="","",VLOOKUP('Sequence Calculations'!B51,'AA Exact Masses'!A$2:F$52,6,FALSE))</f>
        <v/>
      </c>
      <c r="AA43" t="str">
        <f>IF(Y43=TRUE,IF(B43="","",VLOOKUP('Sequence Calculations'!B51,'AA Exact Masses'!A$3:N$52, 7,FALSE)),"")</f>
        <v/>
      </c>
      <c r="AB43" t="str">
        <f>IF(Y43=TRUE,IF(B43="","",VLOOKUP('Sequence Calculations'!B51,'AA Exact Masses'!A$3:N$52, 8,FALSE)),"")</f>
        <v/>
      </c>
      <c r="AC43" t="str">
        <f>IF(Y43=TRUE,IF(B43="","",VLOOKUP('Sequence Calculations'!B51,'AA Exact Masses'!A$3:N$52, 9,FALSE)),"")</f>
        <v/>
      </c>
      <c r="AD43" t="str">
        <f>IF(Y43=TRUE,IF(B43="","",VLOOKUP('Sequence Calculations'!B51,'AA Exact Masses'!A$3:N$52, 10,FALSE)),"")</f>
        <v/>
      </c>
      <c r="AE43" t="str">
        <f>IF(Y43=TRUE,IF(B43="","",VLOOKUP('Sequence Calculations'!B51,'AA Exact Masses'!A$3:N$52, 11,FALSE)),"")</f>
        <v/>
      </c>
      <c r="AF43" t="str">
        <f>IF(Y43=TRUE,IF(B43="","",VLOOKUP('Sequence Calculations'!B51,'AA Exact Masses'!A$3:N$52, 12,FALSE)),"")</f>
        <v/>
      </c>
      <c r="AG43" t="str">
        <f>IF(Y43=TRUE,IF(B43="","",VLOOKUP('Sequence Calculations'!B51,'AA Exact Masses'!A$3:N$52, 13,FALSE)),"")</f>
        <v/>
      </c>
      <c r="AH43" t="str">
        <f>IF(Y43=TRUE,IF(B43="","",VLOOKUP('Sequence Calculations'!B51,'AA Exact Masses'!A$3:N$52, 14,FALSE)),"")</f>
        <v/>
      </c>
    </row>
    <row r="44" spans="1:34" x14ac:dyDescent="0.25">
      <c r="A44" s="4" t="str">
        <f t="shared" si="14"/>
        <v/>
      </c>
      <c r="B44" s="11" t="str">
        <f>IF('Sequence Calculations'!B52="","",VLOOKUP('Sequence Calculations'!B52,'AA Exact Masses'!$A$3:$E$52,2,FALSE))</f>
        <v/>
      </c>
      <c r="C44" t="str">
        <f>IF(Y44=TRUE,IF(B44="","",VLOOKUP('Sequence Calculations'!B52, 'AA Exact Masses'!$A$3:$E$52, 3,FALSE)),"")</f>
        <v/>
      </c>
      <c r="E44" t="str">
        <f>IF(Y44=TRUE,IF(B44="","",VLOOKUP('Sequence Calculations'!B52,'AA Exact Masses'!$A$3:$E$52,4,FALSE)),"")</f>
        <v/>
      </c>
      <c r="W44">
        <f>IF(Y44=TRUE,IF(B44="","",VLOOKUP('Sequence Calculations'!B52, 'Molecular Weight'!$A$3:$E$47, 4,FALSE)),0)</f>
        <v>0</v>
      </c>
      <c r="X44" t="str">
        <f>IF(Y44=TRUE,IF(B44="","",VLOOKUP('Sequence Calculations'!B52, 'Molecular Weight'!$A$3:$B$47, 2,FALSE)),"")</f>
        <v/>
      </c>
      <c r="Y44" t="b">
        <v>0</v>
      </c>
      <c r="Z44" t="str">
        <f>IF(C44="","",VLOOKUP('Sequence Calculations'!B52,'AA Exact Masses'!A$2:F$52,6,FALSE))</f>
        <v/>
      </c>
      <c r="AA44" t="str">
        <f>IF(Y44=TRUE,IF(B44="","",VLOOKUP('Sequence Calculations'!B52,'AA Exact Masses'!A$3:N$52, 7,FALSE)),"")</f>
        <v/>
      </c>
      <c r="AB44" t="str">
        <f>IF(Y44=TRUE,IF(B44="","",VLOOKUP('Sequence Calculations'!B52,'AA Exact Masses'!A$3:N$52, 8,FALSE)),"")</f>
        <v/>
      </c>
      <c r="AC44" t="str">
        <f>IF(Y44=TRUE,IF(B44="","",VLOOKUP('Sequence Calculations'!B52,'AA Exact Masses'!A$3:N$52, 9,FALSE)),"")</f>
        <v/>
      </c>
      <c r="AD44" t="str">
        <f>IF(Y44=TRUE,IF(B44="","",VLOOKUP('Sequence Calculations'!B52,'AA Exact Masses'!A$3:N$52, 10,FALSE)),"")</f>
        <v/>
      </c>
      <c r="AE44" t="str">
        <f>IF(Y44=TRUE,IF(B44="","",VLOOKUP('Sequence Calculations'!B52,'AA Exact Masses'!A$3:N$52, 11,FALSE)),"")</f>
        <v/>
      </c>
      <c r="AF44" t="str">
        <f>IF(Y44=TRUE,IF(B44="","",VLOOKUP('Sequence Calculations'!B52,'AA Exact Masses'!A$3:N$52, 12,FALSE)),"")</f>
        <v/>
      </c>
      <c r="AG44" t="str">
        <f>IF(Y44=TRUE,IF(B44="","",VLOOKUP('Sequence Calculations'!B52,'AA Exact Masses'!A$3:N$52, 13,FALSE)),"")</f>
        <v/>
      </c>
      <c r="AH44" t="str">
        <f>IF(Y44=TRUE,IF(B44="","",VLOOKUP('Sequence Calculations'!B52,'AA Exact Masses'!A$3:N$52, 14,FALSE)),"")</f>
        <v/>
      </c>
    </row>
    <row r="45" spans="1:34" x14ac:dyDescent="0.25">
      <c r="A45" s="4" t="str">
        <f t="shared" si="14"/>
        <v/>
      </c>
      <c r="B45" s="11" t="str">
        <f>IF('Sequence Calculations'!B53="","",VLOOKUP('Sequence Calculations'!B53,'AA Exact Masses'!$A$3:$E$52,2,FALSE))</f>
        <v/>
      </c>
      <c r="C45" t="str">
        <f>IF(Y45=TRUE,IF(B45="","",VLOOKUP('Sequence Calculations'!B53, 'AA Exact Masses'!$A$3:$E$52, 3,FALSE)),"")</f>
        <v/>
      </c>
      <c r="E45" t="str">
        <f>IF(Y45=TRUE,IF(B45="","",VLOOKUP('Sequence Calculations'!B53,'AA Exact Masses'!$A$3:$E$52,4,FALSE)),"")</f>
        <v/>
      </c>
      <c r="W45">
        <f>IF(Y45=TRUE,IF(B45="","",VLOOKUP('Sequence Calculations'!B53, 'Molecular Weight'!$A$3:$E$47, 4,FALSE)),0)</f>
        <v>0</v>
      </c>
      <c r="X45" t="str">
        <f>IF(Y45=TRUE,IF(B45="","",VLOOKUP('Sequence Calculations'!B53, 'Molecular Weight'!$A$3:$B$47, 2,FALSE)),"")</f>
        <v/>
      </c>
      <c r="Y45" t="b">
        <v>0</v>
      </c>
      <c r="Z45" t="str">
        <f>IF(C45="","",VLOOKUP('Sequence Calculations'!B53,'AA Exact Masses'!A$2:F$52,6,FALSE))</f>
        <v/>
      </c>
      <c r="AA45" t="str">
        <f>IF(Y45=TRUE,IF(B45="","",VLOOKUP('Sequence Calculations'!B53,'AA Exact Masses'!A$3:N$52, 7,FALSE)),"")</f>
        <v/>
      </c>
      <c r="AB45" t="str">
        <f>IF(Y45=TRUE,IF(B45="","",VLOOKUP('Sequence Calculations'!B53,'AA Exact Masses'!A$3:N$52, 8,FALSE)),"")</f>
        <v/>
      </c>
      <c r="AC45" t="str">
        <f>IF(Y45=TRUE,IF(B45="","",VLOOKUP('Sequence Calculations'!B53,'AA Exact Masses'!A$3:N$52, 9,FALSE)),"")</f>
        <v/>
      </c>
      <c r="AD45" t="str">
        <f>IF(Y45=TRUE,IF(B45="","",VLOOKUP('Sequence Calculations'!B53,'AA Exact Masses'!A$3:N$52, 10,FALSE)),"")</f>
        <v/>
      </c>
      <c r="AE45" t="str">
        <f>IF(Y45=TRUE,IF(B45="","",VLOOKUP('Sequence Calculations'!B53,'AA Exact Masses'!A$3:N$52, 11,FALSE)),"")</f>
        <v/>
      </c>
      <c r="AF45" t="str">
        <f>IF(Y45=TRUE,IF(B45="","",VLOOKUP('Sequence Calculations'!B53,'AA Exact Masses'!A$3:N$52, 12,FALSE)),"")</f>
        <v/>
      </c>
      <c r="AG45" t="str">
        <f>IF(Y45=TRUE,IF(B45="","",VLOOKUP('Sequence Calculations'!B53,'AA Exact Masses'!A$3:N$52, 13,FALSE)),"")</f>
        <v/>
      </c>
      <c r="AH45" t="str">
        <f>IF(Y45=TRUE,IF(B45="","",VLOOKUP('Sequence Calculations'!B53,'AA Exact Masses'!A$3:N$52, 14,FALSE)),"")</f>
        <v/>
      </c>
    </row>
    <row r="46" spans="1:34" x14ac:dyDescent="0.25">
      <c r="A46" s="4" t="str">
        <f t="shared" si="14"/>
        <v/>
      </c>
      <c r="B46" s="11" t="str">
        <f>IF('Sequence Calculations'!B54="","",VLOOKUP('Sequence Calculations'!B54,'AA Exact Masses'!$A$3:$E$52,2,FALSE))</f>
        <v/>
      </c>
      <c r="C46" t="str">
        <f>IF(Y46=TRUE,IF(B46="","",VLOOKUP('Sequence Calculations'!B54, 'AA Exact Masses'!$A$3:$E$52, 3,FALSE)),"")</f>
        <v/>
      </c>
      <c r="E46" t="str">
        <f>IF(Y46=TRUE,IF(B46="","",VLOOKUP('Sequence Calculations'!B54,'AA Exact Masses'!$A$3:$E$52,4,FALSE)),"")</f>
        <v/>
      </c>
      <c r="W46">
        <f>IF(Y46=TRUE,IF(B46="","",VLOOKUP('Sequence Calculations'!B54, 'Molecular Weight'!$A$3:$E$47, 4,FALSE)),0)</f>
        <v>0</v>
      </c>
      <c r="X46" t="str">
        <f>IF(Y46=TRUE,IF(B46="","",VLOOKUP('Sequence Calculations'!F$4, 'Molecular Weight'!$A$3:$B$47, 2,FALSE)),"")</f>
        <v/>
      </c>
      <c r="Y46" t="b">
        <v>0</v>
      </c>
      <c r="Z46" t="str">
        <f>IF(C46="","",VLOOKUP('Sequence Calculations'!B54,'AA Exact Masses'!A$2:F$52,6,FALSE))</f>
        <v/>
      </c>
      <c r="AA46" t="str">
        <f>IF(Y46=TRUE,IF(B46="","",VLOOKUP('Sequence Calculations'!B54,'AA Exact Masses'!A$3:N$52, 7,FALSE)),"")</f>
        <v/>
      </c>
      <c r="AB46" t="str">
        <f>IF(Y46=TRUE,IF(B46="","",VLOOKUP('Sequence Calculations'!B54,'AA Exact Masses'!A$3:N$52, 8,FALSE)),"")</f>
        <v/>
      </c>
      <c r="AC46" t="str">
        <f>IF(Y46=TRUE,IF(B46="","",VLOOKUP('Sequence Calculations'!B54,'AA Exact Masses'!A$3:N$52, 9,FALSE)),"")</f>
        <v/>
      </c>
      <c r="AD46" t="str">
        <f>IF(Y46=TRUE,IF(B46="","",VLOOKUP('Sequence Calculations'!B54,'AA Exact Masses'!A$3:N$52, 10,FALSE)),"")</f>
        <v/>
      </c>
      <c r="AE46" t="str">
        <f>IF(Y46=TRUE,IF(B46="","",VLOOKUP('Sequence Calculations'!B54,'AA Exact Masses'!A$3:N$52, 11,FALSE)),"")</f>
        <v/>
      </c>
      <c r="AF46" t="str">
        <f>IF(Y46=TRUE,IF(B46="","",VLOOKUP('Sequence Calculations'!B54,'AA Exact Masses'!A$3:N$52, 12,FALSE)),"")</f>
        <v/>
      </c>
      <c r="AG46" t="str">
        <f>IF(Y46=TRUE,IF(B46="","",VLOOKUP('Sequence Calculations'!B54,'AA Exact Masses'!A$3:N$52, 13,FALSE)),"")</f>
        <v/>
      </c>
      <c r="AH46" t="str">
        <f>IF(Y46=TRUE,IF(B46="","",VLOOKUP('Sequence Calculations'!B54,'AA Exact Masses'!A$3:N$52, 14,FALSE)),"")</f>
        <v/>
      </c>
    </row>
    <row r="47" spans="1:34" x14ac:dyDescent="0.25">
      <c r="A47" s="4" t="str">
        <f t="shared" si="14"/>
        <v/>
      </c>
      <c r="B47" s="11" t="str">
        <f>IF('Sequence Calculations'!B55="","",VLOOKUP('Sequence Calculations'!B55,'AA Exact Masses'!$A$3:$E$52,2,FALSE))</f>
        <v/>
      </c>
      <c r="C47" t="str">
        <f>IF(Y47=TRUE,IF(B47="","",VLOOKUP('Sequence Calculations'!B55, 'AA Exact Masses'!$A$3:$E$52, 3,FALSE)),"")</f>
        <v/>
      </c>
      <c r="E47" t="str">
        <f>IF(Y47=TRUE,IF(B47="","",VLOOKUP('Sequence Calculations'!B55,'AA Exact Masses'!$A$3:$E$52,4,FALSE)),"")</f>
        <v/>
      </c>
      <c r="W47">
        <f>IF(Y47=TRUE,IF(B47="","",VLOOKUP('Sequence Calculations'!B55, 'Molecular Weight'!$A$3:$E$47, 4,FALSE)),0)</f>
        <v>0</v>
      </c>
      <c r="X47" t="str">
        <f>IF(Y47=TRUE,IF(B47="","",VLOOKUP('Sequence Calculations'!F$4, 'Molecular Weight'!$A$3:$B$47, 2,FALSE)),"")</f>
        <v/>
      </c>
      <c r="Y47" t="b">
        <v>0</v>
      </c>
      <c r="Z47" t="str">
        <f>IF(C47="","",VLOOKUP('Sequence Calculations'!B55,'AA Exact Masses'!A$2:F$52,6,FALSE))</f>
        <v/>
      </c>
      <c r="AA47" t="str">
        <f>IF(Y47=TRUE,IF(B47="","",VLOOKUP('Sequence Calculations'!B55,'AA Exact Masses'!A$3:N$52, 7,FALSE)),"")</f>
        <v/>
      </c>
      <c r="AB47" t="str">
        <f>IF(Y47=TRUE,IF(B47="","",VLOOKUP('Sequence Calculations'!B55,'AA Exact Masses'!A$3:N$52, 8,FALSE)),"")</f>
        <v/>
      </c>
      <c r="AC47" t="str">
        <f>IF(Y47=TRUE,IF(B47="","",VLOOKUP('Sequence Calculations'!B55,'AA Exact Masses'!A$3:N$52, 9,FALSE)),"")</f>
        <v/>
      </c>
      <c r="AD47" t="str">
        <f>IF(Y47=TRUE,IF(B47="","",VLOOKUP('Sequence Calculations'!B55,'AA Exact Masses'!A$3:N$52, 10,FALSE)),"")</f>
        <v/>
      </c>
      <c r="AE47" t="str">
        <f>IF(Y47=TRUE,IF(B47="","",VLOOKUP('Sequence Calculations'!B55,'AA Exact Masses'!A$3:N$52, 11,FALSE)),"")</f>
        <v/>
      </c>
      <c r="AF47" t="str">
        <f>IF(Y47=TRUE,IF(B47="","",VLOOKUP('Sequence Calculations'!B55,'AA Exact Masses'!A$3:N$52, 12,FALSE)),"")</f>
        <v/>
      </c>
      <c r="AG47" t="str">
        <f>IF(Y47=TRUE,IF(B47="","",VLOOKUP('Sequence Calculations'!B55,'AA Exact Masses'!A$3:N$52, 13,FALSE)),"")</f>
        <v/>
      </c>
      <c r="AH47" t="str">
        <f>IF(Y47=TRUE,IF(B47="","",VLOOKUP('Sequence Calculations'!B55,'AA Exact Masses'!A$3:N$52, 14,FALSE)),"")</f>
        <v/>
      </c>
    </row>
    <row r="48" spans="1:34" x14ac:dyDescent="0.25">
      <c r="A48" s="4" t="str">
        <f t="shared" si="14"/>
        <v/>
      </c>
      <c r="B48" s="11" t="str">
        <f>IF('Sequence Calculations'!B56="","",VLOOKUP('Sequence Calculations'!B56,'AA Exact Masses'!$A$3:$E$52,2,FALSE))</f>
        <v/>
      </c>
      <c r="C48" t="str">
        <f>IF(Y48=TRUE,IF(B48="","",VLOOKUP('Sequence Calculations'!B56, 'AA Exact Masses'!$A$3:$E$52, 3,FALSE)),"")</f>
        <v/>
      </c>
      <c r="E48" t="str">
        <f>IF(Y48=TRUE,IF(B48="","",VLOOKUP('Sequence Calculations'!B56,'AA Exact Masses'!$A$3:$E$52,4,FALSE)),"")</f>
        <v/>
      </c>
      <c r="W48">
        <f>IF(Y48=TRUE,IF(B48="","",VLOOKUP('Sequence Calculations'!B56, 'Molecular Weight'!$A$3:$E$47, 4,FALSE)),0)</f>
        <v>0</v>
      </c>
      <c r="X48" t="str">
        <f>IF(Y48=TRUE,IF(B48="","",VLOOKUP('Sequence Calculations'!F$4, 'Molecular Weight'!$A$3:$B$47, 2,FALSE)),"")</f>
        <v/>
      </c>
      <c r="Y48" t="b">
        <v>0</v>
      </c>
      <c r="Z48" t="str">
        <f>IF(C48="","",VLOOKUP('Sequence Calculations'!B56,'AA Exact Masses'!A$2:F$52,6,FALSE))</f>
        <v/>
      </c>
      <c r="AA48" t="str">
        <f>IF(Y48=TRUE,IF(B48="","",VLOOKUP('Sequence Calculations'!B56,'AA Exact Masses'!A$3:N$52, 7,FALSE)),"")</f>
        <v/>
      </c>
      <c r="AB48" t="str">
        <f>IF(Y48=TRUE,IF(B48="","",VLOOKUP('Sequence Calculations'!B56,'AA Exact Masses'!A$3:N$52, 8,FALSE)),"")</f>
        <v/>
      </c>
      <c r="AC48" t="str">
        <f>IF(Y48=TRUE,IF(B48="","",VLOOKUP('Sequence Calculations'!B56,'AA Exact Masses'!A$3:N$52, 9,FALSE)),"")</f>
        <v/>
      </c>
      <c r="AD48" t="str">
        <f>IF(Y48=TRUE,IF(B48="","",VLOOKUP('Sequence Calculations'!B56,'AA Exact Masses'!A$3:N$52, 10,FALSE)),"")</f>
        <v/>
      </c>
      <c r="AE48" t="str">
        <f>IF(Y48=TRUE,IF(B48="","",VLOOKUP('Sequence Calculations'!B56,'AA Exact Masses'!A$3:N$52, 11,FALSE)),"")</f>
        <v/>
      </c>
      <c r="AF48" t="str">
        <f>IF(Y48=TRUE,IF(B48="","",VLOOKUP('Sequence Calculations'!B56,'AA Exact Masses'!A$3:N$52, 12,FALSE)),"")</f>
        <v/>
      </c>
      <c r="AG48" t="str">
        <f>IF(Y48=TRUE,IF(B48="","",VLOOKUP('Sequence Calculations'!B56,'AA Exact Masses'!A$3:N$52, 13,FALSE)),"")</f>
        <v/>
      </c>
      <c r="AH48" t="str">
        <f>IF(Y48=TRUE,IF(B48="","",VLOOKUP('Sequence Calculations'!B56,'AA Exact Masses'!A$3:N$52, 14,FALSE)),"")</f>
        <v/>
      </c>
    </row>
    <row r="49" spans="1:34" x14ac:dyDescent="0.25">
      <c r="A49" s="4" t="str">
        <f t="shared" si="14"/>
        <v/>
      </c>
      <c r="B49" s="11" t="str">
        <f>IF('Sequence Calculations'!B57="","",VLOOKUP('Sequence Calculations'!B57,'AA Exact Masses'!$A$3:$E$52,2,FALSE))</f>
        <v/>
      </c>
      <c r="C49" t="str">
        <f>IF(Y49=TRUE,IF(B49="","",VLOOKUP('Sequence Calculations'!B57, 'AA Exact Masses'!$A$3:$E$52, 3,FALSE)),"")</f>
        <v/>
      </c>
      <c r="E49" t="str">
        <f>IF(Y49=TRUE,IF(B49="","",VLOOKUP('Sequence Calculations'!B57,'AA Exact Masses'!$A$3:$E$52,4,FALSE)),"")</f>
        <v/>
      </c>
      <c r="W49">
        <f>IF(Y49=TRUE,IF(B49="","",VLOOKUP('Sequence Calculations'!B57, 'Molecular Weight'!$A$3:$E$47, 4,FALSE)),0)</f>
        <v>0</v>
      </c>
      <c r="X49" t="str">
        <f>IF(Y49=TRUE,IF(B49="","",VLOOKUP('Sequence Calculations'!F$4, 'Molecular Weight'!$A$3:$B$47, 2,FALSE)),"")</f>
        <v/>
      </c>
      <c r="Y49" t="b">
        <v>0</v>
      </c>
      <c r="Z49" t="str">
        <f>IF(C49="","",VLOOKUP('Sequence Calculations'!B57,'AA Exact Masses'!A$2:F$52,6,FALSE))</f>
        <v/>
      </c>
      <c r="AA49" t="str">
        <f>IF(Y49=TRUE,IF(B49="","",VLOOKUP('Sequence Calculations'!B57,'AA Exact Masses'!A$3:N$52, 7,FALSE)),"")</f>
        <v/>
      </c>
      <c r="AB49" t="str">
        <f>IF(Y49=TRUE,IF(B49="","",VLOOKUP('Sequence Calculations'!B57,'AA Exact Masses'!A$3:N$52, 8,FALSE)),"")</f>
        <v/>
      </c>
      <c r="AC49" t="str">
        <f>IF(Y49=TRUE,IF(B49="","",VLOOKUP('Sequence Calculations'!B57,'AA Exact Masses'!A$3:N$52, 9,FALSE)),"")</f>
        <v/>
      </c>
      <c r="AD49" t="str">
        <f>IF(Y49=TRUE,IF(B49="","",VLOOKUP('Sequence Calculations'!B57,'AA Exact Masses'!A$3:N$52, 10,FALSE)),"")</f>
        <v/>
      </c>
      <c r="AE49" t="str">
        <f>IF(Y49=TRUE,IF(B49="","",VLOOKUP('Sequence Calculations'!B57,'AA Exact Masses'!A$3:N$52, 11,FALSE)),"")</f>
        <v/>
      </c>
      <c r="AF49" t="str">
        <f>IF(Y49=TRUE,IF(B49="","",VLOOKUP('Sequence Calculations'!B57,'AA Exact Masses'!A$3:N$52, 12,FALSE)),"")</f>
        <v/>
      </c>
      <c r="AG49" t="str">
        <f>IF(Y49=TRUE,IF(B49="","",VLOOKUP('Sequence Calculations'!B57,'AA Exact Masses'!A$3:N$52, 13,FALSE)),"")</f>
        <v/>
      </c>
      <c r="AH49" t="str">
        <f>IF(Y49=TRUE,IF(B49="","",VLOOKUP('Sequence Calculations'!B57,'AA Exact Masses'!A$3:N$52, 14,FALSE)),"")</f>
        <v/>
      </c>
    </row>
    <row r="50" spans="1:34" x14ac:dyDescent="0.25">
      <c r="A50" s="4" t="str">
        <f t="shared" si="14"/>
        <v/>
      </c>
      <c r="B50" s="11" t="str">
        <f>IF('Sequence Calculations'!B58="","",VLOOKUP('Sequence Calculations'!B58,'AA Exact Masses'!$A$3:$E$52,2,FALSE))</f>
        <v/>
      </c>
      <c r="C50" t="str">
        <f>IF(B50="","",VLOOKUP('Sequence Calculations'!B58, 'AA Exact Masses'!$A$3:$E$52, 3,FALSE))</f>
        <v/>
      </c>
      <c r="E50" t="str">
        <f>IF(B50="","",VLOOKUP('Sequence Calculations'!B58,'AA Exact Masses'!$A$3:$E$52,4,FALSE))</f>
        <v/>
      </c>
      <c r="W50">
        <f>IF(Y50=TRUE,IF(B50="","",VLOOKUP('Sequence Calculations'!B58, 'Molecular Weight'!$A$3:$E$47, 4,FALSE)),0)</f>
        <v>0</v>
      </c>
      <c r="X50" t="str">
        <f>IF(Y50=TRUE,IF(B50="","",VLOOKUP('Sequence Calculations'!F$4, 'Molecular Weight'!$A$3:$B$47, 2,FALSE)),"")</f>
        <v/>
      </c>
      <c r="Y50" t="b">
        <v>0</v>
      </c>
      <c r="Z50" t="str">
        <f>IF(C50="","",VLOOKUP('Sequence Calculations'!B58,'AA Exact Masses'!A$2:F$52,6,FALSE))</f>
        <v/>
      </c>
      <c r="AA50" t="str">
        <f>IF(Y50=TRUE,IF(B50="","",VLOOKUP('Sequence Calculations'!B58,'AA Exact Masses'!A$3:N$52, 7,FALSE)),"")</f>
        <v/>
      </c>
      <c r="AB50" t="str">
        <f>IF(Y50=TRUE,IF(B50="","",VLOOKUP('Sequence Calculations'!B58,'AA Exact Masses'!A$3:N$52, 8,FALSE)),"")</f>
        <v/>
      </c>
      <c r="AC50" t="str">
        <f>IF(Y50=TRUE,IF(B50="","",VLOOKUP('Sequence Calculations'!B58,'AA Exact Masses'!A$3:N$52, 9,FALSE)),"")</f>
        <v/>
      </c>
      <c r="AD50" t="str">
        <f>IF(Y50=TRUE,IF(B50="","",VLOOKUP('Sequence Calculations'!B58,'AA Exact Masses'!A$3:N$52, 10,FALSE)),"")</f>
        <v/>
      </c>
      <c r="AE50" t="str">
        <f>IF(Y50=TRUE,IF(B50="","",VLOOKUP('Sequence Calculations'!B58,'AA Exact Masses'!A$3:N$52, 11,FALSE)),"")</f>
        <v/>
      </c>
      <c r="AF50" t="str">
        <f>IF(Y50=TRUE,IF(B50="","",VLOOKUP('Sequence Calculations'!B58,'AA Exact Masses'!A$3:N$52, 12,FALSE)),"")</f>
        <v/>
      </c>
      <c r="AG50" t="str">
        <f>IF(Y50=TRUE,IF(B50="","",VLOOKUP('Sequence Calculations'!B58,'AA Exact Masses'!A$3:N$52, 13,FALSE)),"")</f>
        <v/>
      </c>
      <c r="AH50" t="str">
        <f>IF(Y50=TRUE,IF(B50="","",VLOOKUP('Sequence Calculations'!B58,'AA Exact Masses'!A$3:N$52, 14,FALSE)),"")</f>
        <v/>
      </c>
    </row>
    <row r="51" spans="1:34" x14ac:dyDescent="0.25">
      <c r="A51" s="4" t="str">
        <f t="shared" si="14"/>
        <v/>
      </c>
      <c r="B51" s="11" t="str">
        <f>IF('Sequence Calculations'!B59="","",VLOOKUP('Sequence Calculations'!B59,'AA Exact Masses'!$A$3:$E$52,2,FALSE))</f>
        <v/>
      </c>
      <c r="C51" t="str">
        <f>IF(B51="","",VLOOKUP('Sequence Calculations'!B59, 'AA Exact Masses'!$A$3:$E$52, 3,FALSE))</f>
        <v/>
      </c>
      <c r="E51" t="str">
        <f>IF(B51="","",VLOOKUP('Sequence Calculations'!B59,'AA Exact Masses'!$A$3:$E$52,4,FALSE))</f>
        <v/>
      </c>
      <c r="W51">
        <f>IF(Y51=TRUE,IF(B51="","",VLOOKUP('Sequence Calculations'!B59, 'Molecular Weight'!$A$3:$E$47, 4,FALSE)),0)</f>
        <v>0</v>
      </c>
      <c r="X51" t="str">
        <f>IF(Y51=TRUE,IF(B51="","",VLOOKUP('Sequence Calculations'!F$4, 'Molecular Weight'!$A$3:$B$47, 2,FALSE)),"")</f>
        <v/>
      </c>
      <c r="Y51" t="b">
        <v>0</v>
      </c>
      <c r="Z51" t="str">
        <f>IF(C51="","",VLOOKUP('Sequence Calculations'!B59,'AA Exact Masses'!A$2:F$52,6,FALSE))</f>
        <v/>
      </c>
      <c r="AA51" t="str">
        <f>IF(Y51=TRUE,IF(B51="","",VLOOKUP('Sequence Calculations'!B59,'AA Exact Masses'!A$3:N$52, 7,FALSE)),"")</f>
        <v/>
      </c>
      <c r="AB51" t="str">
        <f>IF(Y51=TRUE,IF(B51="","",VLOOKUP('Sequence Calculations'!B59,'AA Exact Masses'!A$3:N$52, 8,FALSE)),"")</f>
        <v/>
      </c>
      <c r="AC51" t="str">
        <f>IF(Y51=TRUE,IF(B51="","",VLOOKUP('Sequence Calculations'!B59,'AA Exact Masses'!A$3:N$52, 9,FALSE)),"")</f>
        <v/>
      </c>
      <c r="AD51" t="str">
        <f>IF(Y51=TRUE,IF(B51="","",VLOOKUP('Sequence Calculations'!B59,'AA Exact Masses'!A$3:N$52, 10,FALSE)),"")</f>
        <v/>
      </c>
      <c r="AE51" t="str">
        <f>IF(Y51=TRUE,IF(B51="","",VLOOKUP('Sequence Calculations'!B59,'AA Exact Masses'!A$3:N$52, 11,FALSE)),"")</f>
        <v/>
      </c>
      <c r="AF51" t="str">
        <f>IF(Y51=TRUE,IF(B51="","",VLOOKUP('Sequence Calculations'!B59,'AA Exact Masses'!A$3:N$52, 12,FALSE)),"")</f>
        <v/>
      </c>
      <c r="AG51" t="str">
        <f>IF(Y51=TRUE,IF(B51="","",VLOOKUP('Sequence Calculations'!B59,'AA Exact Masses'!A$3:N$52, 13,FALSE)),"")</f>
        <v/>
      </c>
      <c r="AH51" t="str">
        <f>IF(Y51=TRUE,IF(B51="","",VLOOKUP('Sequence Calculations'!B59,'AA Exact Masses'!A$3:N$52, 14,FALSE)),"")</f>
        <v/>
      </c>
    </row>
    <row r="52" spans="1:34" x14ac:dyDescent="0.25">
      <c r="A52" s="4" t="str">
        <f t="shared" si="14"/>
        <v/>
      </c>
      <c r="B52" s="11" t="str">
        <f>IF('Sequence Calculations'!B60="","",VLOOKUP('Sequence Calculations'!B60,'AA Exact Masses'!$A$3:$E$52,2,FALSE))</f>
        <v/>
      </c>
      <c r="C52" t="str">
        <f>IF(B52="","",VLOOKUP('Sequence Calculations'!B60, 'AA Exact Masses'!$A$3:$E$52, 3,FALSE))</f>
        <v/>
      </c>
      <c r="E52" t="str">
        <f>IF(B52="","",VLOOKUP('Sequence Calculations'!B60,'AA Exact Masses'!$A$3:$E$52,4,FALSE))</f>
        <v/>
      </c>
      <c r="W52">
        <f>IF(Y52=TRUE,IF(B52="","",VLOOKUP('Sequence Calculations'!B60, 'Molecular Weight'!$A$3:$E$47, 4,FALSE)),0)</f>
        <v>0</v>
      </c>
      <c r="X52" t="str">
        <f>IF(Y52=TRUE,IF(B52="","",VLOOKUP('Sequence Calculations'!F$4, 'Molecular Weight'!$A$3:$B$47, 2,FALSE)),"")</f>
        <v/>
      </c>
      <c r="Y52" t="b">
        <v>0</v>
      </c>
      <c r="Z52" t="str">
        <f>IF(C52="","",VLOOKUP('Sequence Calculations'!B60,'AA Exact Masses'!A$2:F$52,6,FALSE))</f>
        <v/>
      </c>
      <c r="AA52" t="str">
        <f>IF(Y52=TRUE,IF(B52="","",VLOOKUP('Sequence Calculations'!B60,'AA Exact Masses'!A$3:N$52, 7,FALSE)),"")</f>
        <v/>
      </c>
      <c r="AB52" t="str">
        <f>IF(Y52=TRUE,IF(B52="","",VLOOKUP('Sequence Calculations'!B60,'AA Exact Masses'!A$3:N$52, 8,FALSE)),"")</f>
        <v/>
      </c>
      <c r="AC52" t="str">
        <f>IF(Y52=TRUE,IF(B52="","",VLOOKUP('Sequence Calculations'!B60,'AA Exact Masses'!A$3:N$52, 9,FALSE)),"")</f>
        <v/>
      </c>
      <c r="AD52" t="str">
        <f>IF(Y52=TRUE,IF(B52="","",VLOOKUP('Sequence Calculations'!B60,'AA Exact Masses'!A$3:N$52, 10,FALSE)),"")</f>
        <v/>
      </c>
      <c r="AE52" t="str">
        <f>IF(Y52=TRUE,IF(B52="","",VLOOKUP('Sequence Calculations'!B60,'AA Exact Masses'!A$3:N$52, 11,FALSE)),"")</f>
        <v/>
      </c>
      <c r="AF52" t="str">
        <f>IF(Y52=TRUE,IF(B52="","",VLOOKUP('Sequence Calculations'!B60,'AA Exact Masses'!A$3:N$52, 12,FALSE)),"")</f>
        <v/>
      </c>
      <c r="AG52" t="str">
        <f>IF(Y52=TRUE,IF(B52="","",VLOOKUP('Sequence Calculations'!B60,'AA Exact Masses'!A$3:N$52, 13,FALSE)),"")</f>
        <v/>
      </c>
      <c r="AH52" t="str">
        <f>IF(Y52=TRUE,IF(B52="","",VLOOKUP('Sequence Calculations'!B60,'AA Exact Masses'!A$3:N$52, 14,FALSE)),"")</f>
        <v/>
      </c>
    </row>
    <row r="53" spans="1:34" x14ac:dyDescent="0.25">
      <c r="A53" s="4" t="str">
        <f t="shared" si="14"/>
        <v/>
      </c>
      <c r="B53" s="11" t="str">
        <f>IF('Sequence Calculations'!B61="","",VLOOKUP('Sequence Calculations'!B61,'AA Exact Masses'!$A$3:$E$52,2,FALSE))</f>
        <v/>
      </c>
      <c r="C53" t="str">
        <f>IF(B53="","",VLOOKUP('Sequence Calculations'!B61, 'AA Exact Masses'!$A$3:$E$52, 3,FALSE))</f>
        <v/>
      </c>
      <c r="E53" t="str">
        <f>IF(B53="","",VLOOKUP('Sequence Calculations'!B61,'AA Exact Masses'!$A$3:$E$52,4,FALSE))</f>
        <v/>
      </c>
      <c r="W53">
        <f>IF(Y53=TRUE,IF(B53="","",VLOOKUP('Sequence Calculations'!B61, 'Molecular Weight'!$A$3:$E$47, 4,FALSE)),0)</f>
        <v>0</v>
      </c>
      <c r="X53" t="str">
        <f>IF(Y53=TRUE,IF(B53="","",VLOOKUP('Sequence Calculations'!F$4, 'Molecular Weight'!$A$3:$B$47, 2,FALSE)),"")</f>
        <v/>
      </c>
      <c r="Y53" t="b">
        <v>0</v>
      </c>
      <c r="Z53" t="str">
        <f>IF(C53="","",VLOOKUP('Sequence Calculations'!B61,'AA Exact Masses'!A$2:F$52,6,FALSE))</f>
        <v/>
      </c>
      <c r="AA53" t="str">
        <f>IF(Y53=TRUE,IF(B53="","",VLOOKUP('Sequence Calculations'!B61,'AA Exact Masses'!A$3:N$52, 7,FALSE)),"")</f>
        <v/>
      </c>
      <c r="AB53" t="str">
        <f>IF(Y53=TRUE,IF(B53="","",VLOOKUP('Sequence Calculations'!B61,'AA Exact Masses'!A$3:N$52, 8,FALSE)),"")</f>
        <v/>
      </c>
      <c r="AC53" t="str">
        <f>IF(Y53=TRUE,IF(B53="","",VLOOKUP('Sequence Calculations'!B61,'AA Exact Masses'!A$3:N$52, 9,FALSE)),"")</f>
        <v/>
      </c>
      <c r="AD53" t="str">
        <f>IF(Y53=TRUE,IF(B53="","",VLOOKUP('Sequence Calculations'!B61,'AA Exact Masses'!A$3:N$52, 10,FALSE)),"")</f>
        <v/>
      </c>
      <c r="AE53" t="str">
        <f>IF(Y53=TRUE,IF(B53="","",VLOOKUP('Sequence Calculations'!B61,'AA Exact Masses'!A$3:N$52, 11,FALSE)),"")</f>
        <v/>
      </c>
      <c r="AF53" t="str">
        <f>IF(Y53=TRUE,IF(B53="","",VLOOKUP('Sequence Calculations'!B61,'AA Exact Masses'!A$3:N$52, 12,FALSE)),"")</f>
        <v/>
      </c>
      <c r="AG53" t="str">
        <f>IF(Y53=TRUE,IF(B53="","",VLOOKUP('Sequence Calculations'!B61,'AA Exact Masses'!A$3:N$52, 13,FALSE)),"")</f>
        <v/>
      </c>
      <c r="AH53" t="str">
        <f>IF(Y53=TRUE,IF(B53="","",VLOOKUP('Sequence Calculations'!B61,'AA Exact Masses'!A$3:N$52, 14,FALSE)),"")</f>
        <v/>
      </c>
    </row>
    <row r="54" spans="1:34" x14ac:dyDescent="0.25">
      <c r="A54" s="4" t="str">
        <f t="shared" si="14"/>
        <v/>
      </c>
      <c r="B54" s="11" t="str">
        <f>IF('Sequence Calculations'!B62="","",VLOOKUP('Sequence Calculations'!B62,'AA Exact Masses'!$A$3:$E$52,2,FALSE))</f>
        <v/>
      </c>
      <c r="C54" t="str">
        <f>IF(B54="","",VLOOKUP('Sequence Calculations'!B62, 'AA Exact Masses'!$A$3:$E$52, 3,FALSE))</f>
        <v/>
      </c>
      <c r="E54" t="str">
        <f>IF(B54="","",VLOOKUP('Sequence Calculations'!B62,'AA Exact Masses'!$A$3:$E$52,4,FALSE))</f>
        <v/>
      </c>
      <c r="W54">
        <f>IF(Y54=TRUE,IF(B54="","",VLOOKUP('Sequence Calculations'!B62, 'Molecular Weight'!$A$3:$E$47, 4,FALSE)),0)</f>
        <v>0</v>
      </c>
      <c r="X54" t="str">
        <f>IF(Y54=TRUE,IF(B54="","",VLOOKUP('Sequence Calculations'!F$4, 'Molecular Weight'!$A$3:$B$47, 2,FALSE)),"")</f>
        <v/>
      </c>
      <c r="Y54" t="b">
        <v>0</v>
      </c>
      <c r="Z54" t="str">
        <f>IF(C54="","",VLOOKUP('Sequence Calculations'!B62,'AA Exact Masses'!A$2:F$52,6,FALSE))</f>
        <v/>
      </c>
      <c r="AA54" t="str">
        <f>IF(Y54=TRUE,IF(B54="","",VLOOKUP('Sequence Calculations'!B62,'AA Exact Masses'!A$3:N$52, 7,FALSE)),"")</f>
        <v/>
      </c>
      <c r="AB54" t="str">
        <f>IF(Y54=TRUE,IF(B54="","",VLOOKUP('Sequence Calculations'!B62,'AA Exact Masses'!A$3:N$52, 8,FALSE)),"")</f>
        <v/>
      </c>
      <c r="AC54" t="str">
        <f>IF(Y54=TRUE,IF(B54="","",VLOOKUP('Sequence Calculations'!B62,'AA Exact Masses'!A$3:N$52, 9,FALSE)),"")</f>
        <v/>
      </c>
      <c r="AD54" t="str">
        <f>IF(Y54=TRUE,IF(B54="","",VLOOKUP('Sequence Calculations'!B62,'AA Exact Masses'!A$3:N$52, 10,FALSE)),"")</f>
        <v/>
      </c>
      <c r="AE54" t="str">
        <f>IF(Y54=TRUE,IF(B54="","",VLOOKUP('Sequence Calculations'!B62,'AA Exact Masses'!A$3:N$52, 11,FALSE)),"")</f>
        <v/>
      </c>
      <c r="AF54" t="str">
        <f>IF(Y54=TRUE,IF(B54="","",VLOOKUP('Sequence Calculations'!B62,'AA Exact Masses'!A$3:N$52, 12,FALSE)),"")</f>
        <v/>
      </c>
      <c r="AG54" t="str">
        <f>IF(Y54=TRUE,IF(B54="","",VLOOKUP('Sequence Calculations'!B62,'AA Exact Masses'!A$3:N$52, 13,FALSE)),"")</f>
        <v/>
      </c>
      <c r="AH54" t="str">
        <f>IF(Y54=TRUE,IF(B54="","",VLOOKUP('Sequence Calculations'!B62,'AA Exact Masses'!A$3:N$52, 14,FALSE)),"")</f>
        <v/>
      </c>
    </row>
    <row r="55" spans="1:34" x14ac:dyDescent="0.25">
      <c r="A55" t="str">
        <f t="shared" si="14"/>
        <v/>
      </c>
      <c r="C55" t="str">
        <f>IF(B55="","",VLOOKUP(B55,'AA Exact Masses'!$A$2:$D$53,3,FALSE))</f>
        <v/>
      </c>
      <c r="X55" t="str">
        <f>IF(Y55=TRUE,IF(B55="","",VLOOKUP('Sequence Calculations'!F$4, 'Molecular Weight'!$A$3:$B$47, 2,FALSE)),"")</f>
        <v/>
      </c>
    </row>
    <row r="56" spans="1:34" x14ac:dyDescent="0.25">
      <c r="A56" t="str">
        <f t="shared" si="14"/>
        <v/>
      </c>
      <c r="C56" t="str">
        <f>IF(B56="","",VLOOKUP(B56,'AA Exact Masses'!$A$2:$D$53,3,FALSE))</f>
        <v/>
      </c>
      <c r="X56" t="str">
        <f>IF(Y56=TRUE,IF(B56="","",VLOOKUP('Sequence Calculations'!F$4, 'Molecular Weight'!$A$3:$B$47, 2,FALSE)),"")</f>
        <v/>
      </c>
    </row>
    <row r="57" spans="1:34" x14ac:dyDescent="0.25">
      <c r="A57" t="str">
        <f t="shared" si="14"/>
        <v/>
      </c>
      <c r="C57" t="str">
        <f>IF(B57="","",VLOOKUP(B57,'AA Exact Masses'!$A$2:$D$53,3,FALSE))</f>
        <v/>
      </c>
      <c r="X57" t="str">
        <f>IF(Y57=TRUE,IF(B57="","",VLOOKUP('Sequence Calculations'!F$4, 'Molecular Weight'!$A$3:$B$47, 2,FALSE)),"")</f>
        <v/>
      </c>
    </row>
    <row r="58" spans="1:34" x14ac:dyDescent="0.25">
      <c r="A58" t="str">
        <f t="shared" si="14"/>
        <v/>
      </c>
      <c r="C58" t="str">
        <f>IF(B58="","",VLOOKUP(B58,'AA Exact Masses'!$A$2:$D$53,3,FALSE))</f>
        <v/>
      </c>
      <c r="X58" t="str">
        <f>IF(Y58=TRUE,IF(B58="","",VLOOKUP('Sequence Calculations'!F$4, 'Molecular Weight'!$A$3:$B$47, 2,FALSE)),"")</f>
        <v/>
      </c>
    </row>
    <row r="59" spans="1:34" x14ac:dyDescent="0.25">
      <c r="A59" t="str">
        <f t="shared" si="14"/>
        <v/>
      </c>
      <c r="C59" t="str">
        <f>IF(B59="","",VLOOKUP(B59,'AA Exact Masses'!$A$2:$D$53,3,FALSE))</f>
        <v/>
      </c>
      <c r="X59" t="str">
        <f>IF(Y59=TRUE,IF(B59="","",VLOOKUP('Sequence Calculations'!F$4, 'Molecular Weight'!$A$3:$B$47, 2,FALSE)),"")</f>
        <v/>
      </c>
    </row>
    <row r="60" spans="1:34" x14ac:dyDescent="0.25">
      <c r="A60" t="str">
        <f t="shared" si="14"/>
        <v/>
      </c>
      <c r="C60" t="str">
        <f>IF(B60="","",VLOOKUP(B60,'AA Exact Masses'!$A$2:$D$53,3,FALSE))</f>
        <v/>
      </c>
      <c r="X60" t="str">
        <f>IF(Y60=TRUE,IF(B60="","",VLOOKUP('Sequence Calculations'!F$4, 'Molecular Weight'!$A$3:$B$47, 2,FALSE)),"")</f>
        <v/>
      </c>
    </row>
    <row r="61" spans="1:34" x14ac:dyDescent="0.25">
      <c r="A61" t="str">
        <f t="shared" si="14"/>
        <v/>
      </c>
      <c r="C61" t="str">
        <f>IF(B61="","",VLOOKUP(B61,'AA Exact Masses'!$A$2:$D$53,3,FALSE))</f>
        <v/>
      </c>
      <c r="X61" t="str">
        <f>IF(Y61=TRUE,IF(B61="","",VLOOKUP('Sequence Calculations'!F$4, 'Molecular Weight'!$A$3:$B$47, 2,FALSE)),"")</f>
        <v/>
      </c>
    </row>
    <row r="62" spans="1:34" x14ac:dyDescent="0.25">
      <c r="A62" t="str">
        <f t="shared" si="14"/>
        <v/>
      </c>
      <c r="C62" t="str">
        <f>IF(B62="","",VLOOKUP(B62,'AA Exact Masses'!$A$2:$D$53,3,FALSE))</f>
        <v/>
      </c>
      <c r="X62" t="str">
        <f>IF(Y62=TRUE,IF(B62="","",VLOOKUP('Sequence Calculations'!F$4, 'Molecular Weight'!$A$3:$B$47, 2,FALSE)),"")</f>
        <v/>
      </c>
    </row>
    <row r="63" spans="1:34" x14ac:dyDescent="0.25">
      <c r="C63" t="str">
        <f>IF(B63="","",VLOOKUP(B63,'AA Exact Masses'!$A$2:$D$53,3,FALSE))</f>
        <v/>
      </c>
      <c r="X63" t="str">
        <f>IF(Y63=TRUE,IF(B63="","",VLOOKUP('Sequence Calculations'!F$4, 'Molecular Weight'!$A$3:$B$47, 2,FALSE)),"")</f>
        <v/>
      </c>
    </row>
    <row r="64" spans="1:34" x14ac:dyDescent="0.25">
      <c r="C64" t="str">
        <f>IF(B64="","",VLOOKUP(B64,'AA Exact Masses'!$A$2:$D$53,3,FALSE))</f>
        <v/>
      </c>
      <c r="X64" t="str">
        <f>IF(Y64=TRUE,IF(B64="","",VLOOKUP('Sequence Calculations'!F$4, 'Molecular Weight'!$A$3:$B$47, 2,FALSE)),"")</f>
        <v/>
      </c>
    </row>
    <row r="65" spans="3:24" x14ac:dyDescent="0.25">
      <c r="C65" t="str">
        <f>IF(B65="","",VLOOKUP(B65,'AA Exact Masses'!$A$2:$D$53,3,FALSE))</f>
        <v/>
      </c>
      <c r="X65" t="str">
        <f>IF(Y65=TRUE,IF(B65="","",VLOOKUP('Sequence Calculations'!F$4, 'Molecular Weight'!$A$3:$B$47, 2,FALSE)),"")</f>
        <v/>
      </c>
    </row>
    <row r="66" spans="3:24" x14ac:dyDescent="0.25">
      <c r="C66" t="str">
        <f>IF(B66="","",VLOOKUP(B66,'AA Exact Masses'!$A$2:$D$53,3,FALSE))</f>
        <v/>
      </c>
      <c r="X66" t="str">
        <f>IF(Y66=TRUE,IF(B66="","",VLOOKUP('Sequence Calculations'!F$4, 'Molecular Weight'!$A$3:$B$47, 2,FALSE)),"")</f>
        <v/>
      </c>
    </row>
    <row r="67" spans="3:24" x14ac:dyDescent="0.25">
      <c r="C67" t="str">
        <f>IF(B67="","",VLOOKUP(B67,'AA Exact Masses'!$A$2:$D$53,3,FALSE))</f>
        <v/>
      </c>
      <c r="X67" t="str">
        <f>IF(Y67=TRUE,IF(B67="","",VLOOKUP('Sequence Calculations'!F$4, 'Molecular Weight'!$A$3:$B$47, 2,FALSE)),"")</f>
        <v/>
      </c>
    </row>
    <row r="68" spans="3:24" x14ac:dyDescent="0.25">
      <c r="C68" t="str">
        <f>IF(B68="","",VLOOKUP(B68,'AA Exact Masses'!$A$2:$D$53,3,FALSE))</f>
        <v/>
      </c>
      <c r="X68" t="str">
        <f>IF(Y68=TRUE,IF(B68="","",VLOOKUP('Sequence Calculations'!F$4, 'Molecular Weight'!$A$3:$B$47, 2,FALSE)),"")</f>
        <v/>
      </c>
    </row>
    <row r="69" spans="3:24" x14ac:dyDescent="0.25">
      <c r="X69" t="str">
        <f>IF(Y69=TRUE,IF(B69="","",VLOOKUP('Sequence Calculations'!F$4, 'Molecular Weight'!$A$3:$B$47, 2,FALSE)),"")</f>
        <v/>
      </c>
    </row>
    <row r="70" spans="3:24" x14ac:dyDescent="0.25">
      <c r="X70" t="str">
        <f>IF(Y70=TRUE,IF(B70="","",VLOOKUP('Sequence Calculations'!F$4, 'Molecular Weight'!$A$3:$B$47, 2,FALSE)),"")</f>
        <v/>
      </c>
    </row>
    <row r="71" spans="3:24" x14ac:dyDescent="0.25">
      <c r="X71" t="str">
        <f>IF(Y71=TRUE,IF(B71="","",VLOOKUP('Sequence Calculations'!F$4, 'Molecular Weight'!$A$3:$B$47, 2,FALSE)),"")</f>
        <v/>
      </c>
    </row>
    <row r="72" spans="3:24" x14ac:dyDescent="0.25">
      <c r="X72" t="str">
        <f>IF(Y72=TRUE,IF(B72="","",VLOOKUP('Sequence Calculations'!F71, 'Molecular Weight'!$A$3:$B$47, 2,FALSE)),"")</f>
        <v/>
      </c>
    </row>
    <row r="73" spans="3:24" x14ac:dyDescent="0.25">
      <c r="X73" t="str">
        <f>IF(Y73=TRUE,IF(B73="","",VLOOKUP('Sequence Calculations'!F72, 'Molecular Weight'!$A$3:$B$47, 2,FALSE)),"")</f>
        <v/>
      </c>
    </row>
    <row r="74" spans="3:24" x14ac:dyDescent="0.25">
      <c r="X74" t="str">
        <f>IF(Y74=TRUE,IF(B74="","",VLOOKUP('Sequence Calculations'!F73, 'Molecular Weight'!$A$3:$B$47, 2,FALSE)),"")</f>
        <v/>
      </c>
    </row>
    <row r="75" spans="3:24" x14ac:dyDescent="0.25">
      <c r="X75" t="str">
        <f>IF(Y75=TRUE,IF(B75="","",VLOOKUP('Sequence Calculations'!F74, 'Molecular Weight'!$A$3:$B$47, 2,FALSE)),"")</f>
        <v/>
      </c>
    </row>
    <row r="76" spans="3:24" x14ac:dyDescent="0.25">
      <c r="X76" t="str">
        <f>IF(Y76=TRUE,IF(B76="","",VLOOKUP('Sequence Calculations'!F75, 'Molecular Weight'!$A$3:$B$47, 2,FALSE)),"")</f>
        <v/>
      </c>
    </row>
    <row r="77" spans="3:24" x14ac:dyDescent="0.25">
      <c r="X77" t="str">
        <f>IF(Y77=TRUE,IF(B77="","",VLOOKUP('Sequence Calculations'!F76, 'Molecular Weight'!$A$3:$B$47, 2,FALSE)),"")</f>
        <v/>
      </c>
    </row>
    <row r="78" spans="3:24" x14ac:dyDescent="0.25">
      <c r="X78" t="str">
        <f>IF(Y78=TRUE,IF(B78="","",VLOOKUP('Sequence Calculations'!F77, 'Molecular Weight'!$A$3:$B$47, 2,FALSE)),"")</f>
        <v/>
      </c>
    </row>
    <row r="87" spans="4:4" hidden="1" x14ac:dyDescent="0.25">
      <c r="D87">
        <f t="shared" ref="D87:D92" si="15">FLOOR($D$5,1)</f>
        <v>1247</v>
      </c>
    </row>
    <row r="88" spans="4:4" hidden="1" x14ac:dyDescent="0.25">
      <c r="D88">
        <f t="shared" si="15"/>
        <v>1247</v>
      </c>
    </row>
    <row r="89" spans="4:4" hidden="1" x14ac:dyDescent="0.25">
      <c r="D89">
        <f t="shared" si="15"/>
        <v>1247</v>
      </c>
    </row>
    <row r="90" spans="4:4" hidden="1" x14ac:dyDescent="0.25">
      <c r="D90">
        <f t="shared" si="15"/>
        <v>1247</v>
      </c>
    </row>
    <row r="91" spans="4:4" hidden="1" x14ac:dyDescent="0.25">
      <c r="D91">
        <f t="shared" si="15"/>
        <v>1247</v>
      </c>
    </row>
    <row r="92" spans="4:4" hidden="1" x14ac:dyDescent="0.25">
      <c r="D92">
        <f t="shared" si="15"/>
        <v>1247</v>
      </c>
    </row>
  </sheetData>
  <dataValidations count="3">
    <dataValidation type="list" allowBlank="1" showInputMessage="1" showErrorMessage="1" sqref="B55:B62">
      <formula1>AminoAcid</formula1>
    </dataValidation>
    <dataValidation type="list" allowBlank="1" showInputMessage="1" showErrorMessage="1" sqref="D6:D7">
      <formula1>Answer2</formula1>
    </dataValidation>
    <dataValidation type="list" allowBlank="1" showInputMessage="1" showErrorMessage="1" sqref="H5 H6">
      <formula1>$AP$2:$AP$3</formula1>
    </dataValidation>
  </dataValidations>
  <hyperlinks>
    <hyperlink ref="F43" r:id="rId1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1381125</xdr:colOff>
                    <xdr:row>3</xdr:row>
                    <xdr:rowOff>171450</xdr:rowOff>
                  </from>
                  <to>
                    <xdr:col>3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</xdr:col>
                    <xdr:colOff>1381125</xdr:colOff>
                    <xdr:row>4</xdr:row>
                    <xdr:rowOff>152400</xdr:rowOff>
                  </from>
                  <to>
                    <xdr:col>3</xdr:col>
                    <xdr:colOff>19050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7" name="Check Box 50">
              <controlPr defaultSize="0" autoFill="0" autoLine="0" autoPict="0">
                <anchor moveWithCells="1">
                  <from>
                    <xdr:col>1</xdr:col>
                    <xdr:colOff>1381125</xdr:colOff>
                    <xdr:row>5</xdr:row>
                    <xdr:rowOff>161925</xdr:rowOff>
                  </from>
                  <to>
                    <xdr:col>3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8" name="Check Box 51">
              <controlPr defaultSize="0" autoFill="0" autoLine="0" autoPict="0">
                <anchor moveWithCells="1">
                  <from>
                    <xdr:col>1</xdr:col>
                    <xdr:colOff>1390650</xdr:colOff>
                    <xdr:row>6</xdr:row>
                    <xdr:rowOff>171450</xdr:rowOff>
                  </from>
                  <to>
                    <xdr:col>3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9" name="Check Box 53">
              <controlPr defaultSize="0" autoFill="0" autoLine="0" autoPict="0">
                <anchor moveWithCells="1">
                  <from>
                    <xdr:col>1</xdr:col>
                    <xdr:colOff>1390650</xdr:colOff>
                    <xdr:row>7</xdr:row>
                    <xdr:rowOff>171450</xdr:rowOff>
                  </from>
                  <to>
                    <xdr:col>3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" name="Check Box 55">
              <controlPr defaultSize="0" autoFill="0" autoLine="0" autoPict="0">
                <anchor moveWithCells="1">
                  <from>
                    <xdr:col>1</xdr:col>
                    <xdr:colOff>1390650</xdr:colOff>
                    <xdr:row>8</xdr:row>
                    <xdr:rowOff>171450</xdr:rowOff>
                  </from>
                  <to>
                    <xdr:col>3</xdr:col>
                    <xdr:colOff>28575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1" name="Check Box 57">
              <controlPr defaultSize="0" autoFill="0" autoLine="0" autoPict="0">
                <anchor moveWithCells="1">
                  <from>
                    <xdr:col>1</xdr:col>
                    <xdr:colOff>1390650</xdr:colOff>
                    <xdr:row>9</xdr:row>
                    <xdr:rowOff>171450</xdr:rowOff>
                  </from>
                  <to>
                    <xdr:col>3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2" name="Check Box 59">
              <controlPr defaultSize="0" autoFill="0" autoLine="0" autoPict="0">
                <anchor moveWithCells="1">
                  <from>
                    <xdr:col>1</xdr:col>
                    <xdr:colOff>1381125</xdr:colOff>
                    <xdr:row>10</xdr:row>
                    <xdr:rowOff>161925</xdr:rowOff>
                  </from>
                  <to>
                    <xdr:col>3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3" name="Check Box 61">
              <controlPr defaultSize="0" autoFill="0" autoLine="0" autoPict="0">
                <anchor moveWithCells="1">
                  <from>
                    <xdr:col>1</xdr:col>
                    <xdr:colOff>1390650</xdr:colOff>
                    <xdr:row>11</xdr:row>
                    <xdr:rowOff>171450</xdr:rowOff>
                  </from>
                  <to>
                    <xdr:col>3</xdr:col>
                    <xdr:colOff>28575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4" name="Check Box 63">
              <controlPr defaultSize="0" autoFill="0" autoLine="0" autoPict="0">
                <anchor moveWithCells="1">
                  <from>
                    <xdr:col>1</xdr:col>
                    <xdr:colOff>1381125</xdr:colOff>
                    <xdr:row>12</xdr:row>
                    <xdr:rowOff>171450</xdr:rowOff>
                  </from>
                  <to>
                    <xdr:col>3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5" name="Check Box 65">
              <controlPr defaultSize="0" autoFill="0" autoLine="0" autoPict="0">
                <anchor moveWithCells="1">
                  <from>
                    <xdr:col>1</xdr:col>
                    <xdr:colOff>1371600</xdr:colOff>
                    <xdr:row>13</xdr:row>
                    <xdr:rowOff>161925</xdr:rowOff>
                  </from>
                  <to>
                    <xdr:col>3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6" name="Check Box 67">
              <controlPr defaultSize="0" autoFill="0" autoLine="0" autoPict="0">
                <anchor moveWithCells="1">
                  <from>
                    <xdr:col>1</xdr:col>
                    <xdr:colOff>1390650</xdr:colOff>
                    <xdr:row>14</xdr:row>
                    <xdr:rowOff>161925</xdr:rowOff>
                  </from>
                  <to>
                    <xdr:col>3</xdr:col>
                    <xdr:colOff>28575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7" name="Check Box 69">
              <controlPr defaultSize="0" autoFill="0" autoLine="0" autoPict="0">
                <anchor moveWithCells="1">
                  <from>
                    <xdr:col>1</xdr:col>
                    <xdr:colOff>1390650</xdr:colOff>
                    <xdr:row>15</xdr:row>
                    <xdr:rowOff>161925</xdr:rowOff>
                  </from>
                  <to>
                    <xdr:col>3</xdr:col>
                    <xdr:colOff>28575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8" name="Check Box 71">
              <controlPr defaultSize="0" autoFill="0" autoLine="0" autoPict="0">
                <anchor moveWithCells="1">
                  <from>
                    <xdr:col>1</xdr:col>
                    <xdr:colOff>1400175</xdr:colOff>
                    <xdr:row>16</xdr:row>
                    <xdr:rowOff>161925</xdr:rowOff>
                  </from>
                  <to>
                    <xdr:col>3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9" name="Check Box 73">
              <controlPr defaultSize="0" autoFill="0" autoLine="0" autoPict="0">
                <anchor moveWithCells="1">
                  <from>
                    <xdr:col>1</xdr:col>
                    <xdr:colOff>1400175</xdr:colOff>
                    <xdr:row>17</xdr:row>
                    <xdr:rowOff>171450</xdr:rowOff>
                  </from>
                  <to>
                    <xdr:col>3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0" name="Check Box 75">
              <controlPr defaultSize="0" autoFill="0" autoLine="0" autoPict="0">
                <anchor moveWithCells="1">
                  <from>
                    <xdr:col>1</xdr:col>
                    <xdr:colOff>1390650</xdr:colOff>
                    <xdr:row>18</xdr:row>
                    <xdr:rowOff>161925</xdr:rowOff>
                  </from>
                  <to>
                    <xdr:col>3</xdr:col>
                    <xdr:colOff>28575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1" name="Check Box 77">
              <controlPr defaultSize="0" autoFill="0" autoLine="0" autoPict="0">
                <anchor moveWithCells="1">
                  <from>
                    <xdr:col>1</xdr:col>
                    <xdr:colOff>1390650</xdr:colOff>
                    <xdr:row>19</xdr:row>
                    <xdr:rowOff>161925</xdr:rowOff>
                  </from>
                  <to>
                    <xdr:col>3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2" name="Check Box 78">
              <controlPr defaultSize="0" autoFill="0" autoLine="0" autoPict="0">
                <anchor moveWithCells="1">
                  <from>
                    <xdr:col>1</xdr:col>
                    <xdr:colOff>1381125</xdr:colOff>
                    <xdr:row>20</xdr:row>
                    <xdr:rowOff>152400</xdr:rowOff>
                  </from>
                  <to>
                    <xdr:col>3</xdr:col>
                    <xdr:colOff>19050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3" name="Check Box 88">
              <controlPr defaultSize="0" autoFill="0" autoLine="0" autoPict="0">
                <anchor moveWithCells="1">
                  <from>
                    <xdr:col>1</xdr:col>
                    <xdr:colOff>1381125</xdr:colOff>
                    <xdr:row>21</xdr:row>
                    <xdr:rowOff>171450</xdr:rowOff>
                  </from>
                  <to>
                    <xdr:col>3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4" name="Check Box 89">
              <controlPr defaultSize="0" autoFill="0" autoLine="0" autoPict="0">
                <anchor moveWithCells="1">
                  <from>
                    <xdr:col>1</xdr:col>
                    <xdr:colOff>1381125</xdr:colOff>
                    <xdr:row>22</xdr:row>
                    <xdr:rowOff>171450</xdr:rowOff>
                  </from>
                  <to>
                    <xdr:col>3</xdr:col>
                    <xdr:colOff>19050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5" name="Check Box 90">
              <controlPr defaultSize="0" autoFill="0" autoLine="0" autoPict="0">
                <anchor moveWithCells="1">
                  <from>
                    <xdr:col>1</xdr:col>
                    <xdr:colOff>1390650</xdr:colOff>
                    <xdr:row>23</xdr:row>
                    <xdr:rowOff>180975</xdr:rowOff>
                  </from>
                  <to>
                    <xdr:col>3</xdr:col>
                    <xdr:colOff>28575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6" name="Check Box 91">
              <controlPr defaultSize="0" autoFill="0" autoLine="0" autoPict="0">
                <anchor moveWithCells="1">
                  <from>
                    <xdr:col>1</xdr:col>
                    <xdr:colOff>1400175</xdr:colOff>
                    <xdr:row>24</xdr:row>
                    <xdr:rowOff>171450</xdr:rowOff>
                  </from>
                  <to>
                    <xdr:col>3</xdr:col>
                    <xdr:colOff>38100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27" name="Check Box 92">
              <controlPr defaultSize="0" autoFill="0" autoLine="0" autoPict="0">
                <anchor moveWithCells="1">
                  <from>
                    <xdr:col>1</xdr:col>
                    <xdr:colOff>1400175</xdr:colOff>
                    <xdr:row>25</xdr:row>
                    <xdr:rowOff>180975</xdr:rowOff>
                  </from>
                  <to>
                    <xdr:col>3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8" name="Check Box 93">
              <controlPr defaultSize="0" autoFill="0" autoLine="0" autoPict="0">
                <anchor moveWithCells="1">
                  <from>
                    <xdr:col>1</xdr:col>
                    <xdr:colOff>1400175</xdr:colOff>
                    <xdr:row>27</xdr:row>
                    <xdr:rowOff>0</xdr:rowOff>
                  </from>
                  <to>
                    <xdr:col>3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29" name="Check Box 94">
              <controlPr defaultSize="0" autoFill="0" autoLine="0" autoPict="0">
                <anchor moveWithCells="1">
                  <from>
                    <xdr:col>1</xdr:col>
                    <xdr:colOff>1400175</xdr:colOff>
                    <xdr:row>27</xdr:row>
                    <xdr:rowOff>171450</xdr:rowOff>
                  </from>
                  <to>
                    <xdr:col>3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0" name="Check Box 95">
              <controlPr defaultSize="0" autoFill="0" autoLine="0" autoPict="0">
                <anchor moveWithCells="1">
                  <from>
                    <xdr:col>1</xdr:col>
                    <xdr:colOff>1409700</xdr:colOff>
                    <xdr:row>28</xdr:row>
                    <xdr:rowOff>180975</xdr:rowOff>
                  </from>
                  <to>
                    <xdr:col>3</xdr:col>
                    <xdr:colOff>47625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1" name="Check Box 96">
              <controlPr defaultSize="0" autoFill="0" autoLine="0" autoPict="0">
                <anchor moveWithCells="1">
                  <from>
                    <xdr:col>1</xdr:col>
                    <xdr:colOff>1390650</xdr:colOff>
                    <xdr:row>29</xdr:row>
                    <xdr:rowOff>171450</xdr:rowOff>
                  </from>
                  <to>
                    <xdr:col>3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2" name="Check Box 97">
              <controlPr defaultSize="0" autoFill="0" autoLine="0" autoPict="0">
                <anchor moveWithCells="1">
                  <from>
                    <xdr:col>1</xdr:col>
                    <xdr:colOff>1390650</xdr:colOff>
                    <xdr:row>31</xdr:row>
                    <xdr:rowOff>171450</xdr:rowOff>
                  </from>
                  <to>
                    <xdr:col>3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3" name="Check Box 98">
              <controlPr defaultSize="0" autoFill="0" autoLine="0" autoPict="0">
                <anchor moveWithCells="1">
                  <from>
                    <xdr:col>1</xdr:col>
                    <xdr:colOff>1390650</xdr:colOff>
                    <xdr:row>30</xdr:row>
                    <xdr:rowOff>142875</xdr:rowOff>
                  </from>
                  <to>
                    <xdr:col>3</xdr:col>
                    <xdr:colOff>28575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34" name="Check Box 99">
              <controlPr defaultSize="0" autoFill="0" autoLine="0" autoPict="0">
                <anchor moveWithCells="1">
                  <from>
                    <xdr:col>1</xdr:col>
                    <xdr:colOff>1409700</xdr:colOff>
                    <xdr:row>33</xdr:row>
                    <xdr:rowOff>171450</xdr:rowOff>
                  </from>
                  <to>
                    <xdr:col>3</xdr:col>
                    <xdr:colOff>47625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35" name="Check Box 100">
              <controlPr defaultSize="0" autoFill="0" autoLine="0" autoPict="0">
                <anchor moveWithCells="1">
                  <from>
                    <xdr:col>1</xdr:col>
                    <xdr:colOff>1409700</xdr:colOff>
                    <xdr:row>32</xdr:row>
                    <xdr:rowOff>171450</xdr:rowOff>
                  </from>
                  <to>
                    <xdr:col>3</xdr:col>
                    <xdr:colOff>47625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36" name="Check Box 101">
              <controlPr defaultSize="0" autoFill="0" autoLine="0" autoPict="0">
                <anchor moveWithCells="1">
                  <from>
                    <xdr:col>1</xdr:col>
                    <xdr:colOff>1409700</xdr:colOff>
                    <xdr:row>34</xdr:row>
                    <xdr:rowOff>180975</xdr:rowOff>
                  </from>
                  <to>
                    <xdr:col>3</xdr:col>
                    <xdr:colOff>47625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7" name="Check Box 102">
              <controlPr defaultSize="0" autoFill="0" autoLine="0" autoPict="0">
                <anchor moveWithCells="1">
                  <from>
                    <xdr:col>1</xdr:col>
                    <xdr:colOff>1419225</xdr:colOff>
                    <xdr:row>35</xdr:row>
                    <xdr:rowOff>180975</xdr:rowOff>
                  </from>
                  <to>
                    <xdr:col>3</xdr:col>
                    <xdr:colOff>57150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8" name="Check Box 103">
              <controlPr defaultSize="0" autoFill="0" autoLine="0" autoPict="0">
                <anchor moveWithCells="1">
                  <from>
                    <xdr:col>1</xdr:col>
                    <xdr:colOff>1419225</xdr:colOff>
                    <xdr:row>37</xdr:row>
                    <xdr:rowOff>0</xdr:rowOff>
                  </from>
                  <to>
                    <xdr:col>3</xdr:col>
                    <xdr:colOff>57150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9" name="Check Box 104">
              <controlPr defaultSize="0" autoFill="0" autoLine="0" autoPict="0">
                <anchor moveWithCells="1">
                  <from>
                    <xdr:col>1</xdr:col>
                    <xdr:colOff>1409700</xdr:colOff>
                    <xdr:row>38</xdr:row>
                    <xdr:rowOff>0</xdr:rowOff>
                  </from>
                  <to>
                    <xdr:col>3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40" name="Check Box 105">
              <controlPr defaultSize="0" autoFill="0" autoLine="0" autoPict="0">
                <anchor moveWithCells="1">
                  <from>
                    <xdr:col>1</xdr:col>
                    <xdr:colOff>1419225</xdr:colOff>
                    <xdr:row>38</xdr:row>
                    <xdr:rowOff>171450</xdr:rowOff>
                  </from>
                  <to>
                    <xdr:col>3</xdr:col>
                    <xdr:colOff>57150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1" name="Check Box 106">
              <controlPr defaultSize="0" autoFill="0" autoLine="0" autoPict="0">
                <anchor moveWithCells="1">
                  <from>
                    <xdr:col>1</xdr:col>
                    <xdr:colOff>1419225</xdr:colOff>
                    <xdr:row>39</xdr:row>
                    <xdr:rowOff>180975</xdr:rowOff>
                  </from>
                  <to>
                    <xdr:col>3</xdr:col>
                    <xdr:colOff>57150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2" name="Check Box 107">
              <controlPr defaultSize="0" autoFill="0" autoLine="0" autoPict="0">
                <anchor moveWithCells="1">
                  <from>
                    <xdr:col>1</xdr:col>
                    <xdr:colOff>1419225</xdr:colOff>
                    <xdr:row>40</xdr:row>
                    <xdr:rowOff>180975</xdr:rowOff>
                  </from>
                  <to>
                    <xdr:col>3</xdr:col>
                    <xdr:colOff>57150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3" name="Check Box 108">
              <controlPr defaultSize="0" autoFill="0" autoLine="0" autoPict="0">
                <anchor moveWithCells="1">
                  <from>
                    <xdr:col>1</xdr:col>
                    <xdr:colOff>1400175</xdr:colOff>
                    <xdr:row>42</xdr:row>
                    <xdr:rowOff>0</xdr:rowOff>
                  </from>
                  <to>
                    <xdr:col>3</xdr:col>
                    <xdr:colOff>38100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4" name="Check Box 109">
              <controlPr defaultSize="0" autoFill="0" autoLine="0" autoPict="0">
                <anchor moveWithCells="1">
                  <from>
                    <xdr:col>1</xdr:col>
                    <xdr:colOff>1390650</xdr:colOff>
                    <xdr:row>42</xdr:row>
                    <xdr:rowOff>180975</xdr:rowOff>
                  </from>
                  <to>
                    <xdr:col>3</xdr:col>
                    <xdr:colOff>28575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5" name="Check Box 110">
              <controlPr defaultSize="0" autoFill="0" autoLine="0" autoPict="0">
                <anchor moveWithCells="1">
                  <from>
                    <xdr:col>1</xdr:col>
                    <xdr:colOff>1409700</xdr:colOff>
                    <xdr:row>43</xdr:row>
                    <xdr:rowOff>171450</xdr:rowOff>
                  </from>
                  <to>
                    <xdr:col>3</xdr:col>
                    <xdr:colOff>47625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6" name="Check Box 111">
              <controlPr defaultSize="0" autoFill="0" autoLine="0" autoPict="0">
                <anchor moveWithCells="1">
                  <from>
                    <xdr:col>1</xdr:col>
                    <xdr:colOff>1400175</xdr:colOff>
                    <xdr:row>44</xdr:row>
                    <xdr:rowOff>180975</xdr:rowOff>
                  </from>
                  <to>
                    <xdr:col>3</xdr:col>
                    <xdr:colOff>38100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7" name="Check Box 112">
              <controlPr defaultSize="0" autoFill="0" autoLine="0" autoPict="0">
                <anchor moveWithCells="1">
                  <from>
                    <xdr:col>1</xdr:col>
                    <xdr:colOff>1390650</xdr:colOff>
                    <xdr:row>45</xdr:row>
                    <xdr:rowOff>161925</xdr:rowOff>
                  </from>
                  <to>
                    <xdr:col>3</xdr:col>
                    <xdr:colOff>28575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8" name="Check Box 113">
              <controlPr defaultSize="0" autoFill="0" autoLine="0" autoPict="0">
                <anchor moveWithCells="1">
                  <from>
                    <xdr:col>1</xdr:col>
                    <xdr:colOff>1381125</xdr:colOff>
                    <xdr:row>46</xdr:row>
                    <xdr:rowOff>180975</xdr:rowOff>
                  </from>
                  <to>
                    <xdr:col>3</xdr:col>
                    <xdr:colOff>19050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9" name="Check Box 114">
              <controlPr defaultSize="0" autoFill="0" autoLine="0" autoPict="0">
                <anchor moveWithCells="1">
                  <from>
                    <xdr:col>1</xdr:col>
                    <xdr:colOff>1390650</xdr:colOff>
                    <xdr:row>47</xdr:row>
                    <xdr:rowOff>180975</xdr:rowOff>
                  </from>
                  <to>
                    <xdr:col>3</xdr:col>
                    <xdr:colOff>28575</xdr:colOff>
                    <xdr:row>49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'AA Exact Masses'!$AA$2:$AA$6</xm:f>
          </x14:formula1>
          <xm:sqref>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topLeftCell="L1" workbookViewId="0">
      <selection activeCell="AN16" sqref="AN16"/>
    </sheetView>
  </sheetViews>
  <sheetFormatPr defaultRowHeight="15" x14ac:dyDescent="0.25"/>
  <cols>
    <col min="1" max="11" width="9.140625" hidden="1" customWidth="1"/>
    <col min="14" max="14" width="8.28515625" customWidth="1"/>
    <col min="18" max="22" width="12" customWidth="1"/>
    <col min="23" max="23" width="9.28515625" customWidth="1"/>
    <col min="24" max="24" width="12" hidden="1" customWidth="1"/>
    <col min="25" max="25" width="9.140625" hidden="1" customWidth="1"/>
    <col min="26" max="26" width="11.28515625" hidden="1" customWidth="1"/>
    <col min="27" max="34" width="9.140625" hidden="1" customWidth="1"/>
  </cols>
  <sheetData>
    <row r="1" spans="1:34" x14ac:dyDescent="0.25">
      <c r="O1" t="s">
        <v>77</v>
      </c>
      <c r="Q1" s="24" t="str">
        <f>IF('Mass Ion Calculations'!$D$6="Yes","Cyclic","Linear")</f>
        <v>Cyclic</v>
      </c>
      <c r="R1" s="24" t="str">
        <f>IF('Mass Ion Calculations'!$D$7="Yes","Protected","Deprotected")</f>
        <v>Deprotected</v>
      </c>
      <c r="S1" s="24"/>
      <c r="T1" s="24"/>
      <c r="U1" s="24"/>
      <c r="V1" s="24"/>
    </row>
    <row r="2" spans="1:34" x14ac:dyDescent="0.25">
      <c r="Q2" s="4"/>
      <c r="R2" s="4"/>
      <c r="S2" s="4"/>
      <c r="T2" s="4"/>
      <c r="U2" s="4"/>
      <c r="V2" s="4"/>
    </row>
    <row r="3" spans="1:34" x14ac:dyDescent="0.25">
      <c r="P3" s="4" t="s">
        <v>61</v>
      </c>
    </row>
    <row r="4" spans="1:34" x14ac:dyDescent="0.25">
      <c r="A4" s="6"/>
      <c r="B4" s="6" t="s">
        <v>31</v>
      </c>
      <c r="C4" s="6" t="s">
        <v>16</v>
      </c>
      <c r="D4" s="6" t="s">
        <v>17</v>
      </c>
      <c r="E4" s="6" t="s">
        <v>19</v>
      </c>
      <c r="F4" s="6" t="s">
        <v>20</v>
      </c>
      <c r="G4" s="6" t="s">
        <v>22</v>
      </c>
      <c r="H4" s="6" t="s">
        <v>25</v>
      </c>
      <c r="I4" s="6" t="s">
        <v>79</v>
      </c>
      <c r="J4" s="6" t="s">
        <v>80</v>
      </c>
      <c r="K4" s="6" t="s">
        <v>81</v>
      </c>
      <c r="L4" s="7"/>
      <c r="M4" s="9" t="s">
        <v>43</v>
      </c>
      <c r="N4" s="6" t="s">
        <v>16</v>
      </c>
      <c r="O4" s="6" t="s">
        <v>17</v>
      </c>
      <c r="P4" s="6" t="s">
        <v>19</v>
      </c>
      <c r="Q4" s="6" t="s">
        <v>20</v>
      </c>
      <c r="R4" s="6" t="s">
        <v>22</v>
      </c>
      <c r="S4" s="6" t="s">
        <v>25</v>
      </c>
      <c r="T4" s="6" t="s">
        <v>79</v>
      </c>
      <c r="U4" s="6" t="s">
        <v>80</v>
      </c>
      <c r="V4" s="6" t="s">
        <v>81</v>
      </c>
      <c r="W4" s="7"/>
      <c r="X4" s="27"/>
      <c r="Y4" s="6" t="s">
        <v>16</v>
      </c>
      <c r="Z4" s="6" t="s">
        <v>17</v>
      </c>
      <c r="AA4" s="6" t="s">
        <v>19</v>
      </c>
      <c r="AB4" s="6" t="s">
        <v>20</v>
      </c>
      <c r="AC4" s="6" t="s">
        <v>22</v>
      </c>
      <c r="AD4" s="6" t="s">
        <v>25</v>
      </c>
      <c r="AE4" s="6" t="s">
        <v>79</v>
      </c>
      <c r="AF4" s="6" t="s">
        <v>80</v>
      </c>
      <c r="AG4" s="6" t="s">
        <v>81</v>
      </c>
    </row>
    <row r="5" spans="1:34" x14ac:dyDescent="0.25">
      <c r="A5" s="18" t="str">
        <f>IF('Mass Ion Calculations'!B5="","",'Mass Ion Calculations'!B5)</f>
        <v>Orn(Boc)</v>
      </c>
      <c r="B5">
        <f>IF(A5="","",IF('Mass Ion Calculations'!$D$6="Yes",IF('Mass Ion Calculations'!$D$7="Yes",'Mass Ion Calculations'!$D$18-'Mass Ion Calculations'!C5,'Mass Ion Calculations'!$F$18-'Mass Ion Calculations'!E5),IF('Mass Ion Calculations'!$D$7="Yes", 'Mass Ion Calculations'!$D$15-'Mass Ion Calculations'!C5,'Mass Ion Calculations'!$F$15-'Mass Ion Calculations'!E5)))</f>
        <v>1755.8460299999999</v>
      </c>
      <c r="C5">
        <f>IF(A5="","",B5+'AA Exact Masses'!Q$2)</f>
        <v>1756.85385</v>
      </c>
      <c r="D5">
        <f>IF(A5="","",B5+'AA Exact Masses'!Q$3)</f>
        <v>1778.83583</v>
      </c>
      <c r="E5">
        <f>IF(A5="","",(B5+2*'AA Exact Masses'!Q$2)/2)</f>
        <v>878.930835</v>
      </c>
      <c r="F5">
        <f>IF(A5="","",(B5+2*'AA Exact Masses'!Q$3)/2)</f>
        <v>900.91281499999991</v>
      </c>
      <c r="G5">
        <f>IF($A5="","",($B5+'AA Exact Masses'!$Q$2+'AA Exact Masses'!$Q$3)/2)</f>
        <v>889.92182500000001</v>
      </c>
      <c r="H5">
        <f>IF($A5="","",($B5+3*'AA Exact Masses'!$Q$2)/3)</f>
        <v>586.28983000000005</v>
      </c>
      <c r="I5">
        <f>IF($A5="","",($B5+2*'AA Exact Masses'!$Q$2+'AA Exact Masses'!$Q$3)/3)</f>
        <v>593.61715666666669</v>
      </c>
      <c r="J5">
        <f>IF($A5="","",($B5+'AA Exact Masses'!$Q$2+2*'AA Exact Masses'!$Q$3)/3)</f>
        <v>600.94448333333332</v>
      </c>
      <c r="K5">
        <f>IF($A5="","",($B5+3*'AA Exact Masses'!$Q$3)/3)</f>
        <v>608.27180999999996</v>
      </c>
      <c r="L5" s="1"/>
      <c r="M5" s="20" t="str">
        <f t="shared" ref="M5:M36" si="0">A5</f>
        <v>Orn(Boc)</v>
      </c>
      <c r="N5" s="48">
        <f>IF('Mass Ion Calculations'!$Y5=TRUE,(IF(A5="","",'1st Deletion Fragment'!C5-'Mass Ion Calculations'!$D$5)),"-")</f>
        <v>509.85384999999997</v>
      </c>
      <c r="O5" s="48">
        <f>IF('Mass Ion Calculations'!$Y5=TRUE,(IF(B5="","",'1st Deletion Fragment'!D5-'Mass Ion Calculations'!$D$5)),"-")</f>
        <v>531.83582999999999</v>
      </c>
      <c r="P5" s="48">
        <f>IF('Mass Ion Calculations'!$Y5=TRUE,(IF(C5="","",'1st Deletion Fragment'!E5-'Mass Ion Calculations'!$D$5)),"-")</f>
        <v>-368.069165</v>
      </c>
      <c r="Q5" s="48">
        <f>IF('Mass Ion Calculations'!$Y5=TRUE,(IF(D5="","",'1st Deletion Fragment'!F5-'Mass Ion Calculations'!$D$5)),"-")</f>
        <v>-346.08718500000009</v>
      </c>
      <c r="R5" s="48">
        <f>IF('Mass Ion Calculations'!$Y5=TRUE,(IF(E5="","",'1st Deletion Fragment'!G5-'Mass Ion Calculations'!$D$5)),"-")</f>
        <v>-357.07817499999999</v>
      </c>
      <c r="S5" s="48">
        <f>IF('Mass Ion Calculations'!$Y5=TRUE,(IF(F5="","",'1st Deletion Fragment'!H5-'Mass Ion Calculations'!$D$5)),"-")</f>
        <v>-660.71016999999995</v>
      </c>
      <c r="T5" s="48">
        <f>IF('Mass Ion Calculations'!$Y5=TRUE,(IF(G5="","",'1st Deletion Fragment'!I5-'Mass Ion Calculations'!$D$5)),"-")</f>
        <v>-653.38284333333331</v>
      </c>
      <c r="U5" s="48">
        <f>IF('Mass Ion Calculations'!$Y5=TRUE,(IF(H5="","",'1st Deletion Fragment'!J5-'Mass Ion Calculations'!$D$5)),"-")</f>
        <v>-646.05551666666668</v>
      </c>
      <c r="V5" s="48">
        <f>IF('Mass Ion Calculations'!$Y5=TRUE,(IF(I5="","",'1st Deletion Fragment'!K5-'Mass Ion Calculations'!$D$5)),"-")</f>
        <v>-638.72819000000004</v>
      </c>
      <c r="W5" s="2"/>
      <c r="X5">
        <f>Y5:Y29*Z5:Z14*AA5:AA14*AB5:AB14*AC5:AC14*AD5:AD14*AE5:AE14*AF5:AF14*AG5:AG14</f>
        <v>-2.2142951950822553E+24</v>
      </c>
      <c r="Y5" s="3">
        <f t="shared" ref="Y5" si="1">IF(N5="-",1,FLOOR(N5,1))</f>
        <v>509</v>
      </c>
      <c r="Z5" s="3">
        <f t="shared" ref="Z5" si="2">IF(O5="-",1,FLOOR(O5,1))</f>
        <v>531</v>
      </c>
      <c r="AA5" s="3">
        <f t="shared" ref="AA5" si="3">IF(P5="-",1,FLOOR(P5,1))</f>
        <v>-369</v>
      </c>
      <c r="AB5" s="3">
        <f t="shared" ref="AB5" si="4">IF(Q5="-",1,FLOOR(Q5,1))</f>
        <v>-347</v>
      </c>
      <c r="AC5" s="3">
        <f t="shared" ref="AC5" si="5">IF(R5="-",1,FLOOR(R5,1))</f>
        <v>-358</v>
      </c>
      <c r="AD5" s="3">
        <f t="shared" ref="AD5" si="6">IF(S5="-",1,FLOOR(S5,1))</f>
        <v>-661</v>
      </c>
      <c r="AE5" s="3">
        <f t="shared" ref="AE5" si="7">IF(T5="-",1,FLOOR(T5,1))</f>
        <v>-654</v>
      </c>
      <c r="AF5" s="3">
        <f t="shared" ref="AF5" si="8">IF(U5="-",1,FLOOR(U5,1))</f>
        <v>-647</v>
      </c>
      <c r="AG5" s="3">
        <f t="shared" ref="AG5" si="9">IF(V5="-",1,FLOOR(V5,1))</f>
        <v>-639</v>
      </c>
      <c r="AH5" t="str">
        <f>M5</f>
        <v>Orn(Boc)</v>
      </c>
    </row>
    <row r="6" spans="1:34" x14ac:dyDescent="0.25">
      <c r="A6" s="19" t="str">
        <f>IF('Mass Ion Calculations'!B6="","",'Mass Ion Calculations'!B6)</f>
        <v>Ala</v>
      </c>
      <c r="B6">
        <f>IF(A6="","",IF('Mass Ion Calculations'!$D$6="Yes",IF('Mass Ion Calculations'!$D$7="Yes",'Mass Ion Calculations'!$D$18-'Mass Ion Calculations'!C6,'Mass Ion Calculations'!$F$18-'Mass Ion Calculations'!E6),IF('Mass Ion Calculations'!$D$7="Yes", 'Mass Ion Calculations'!$D$15-'Mass Ion Calculations'!C6,'Mass Ion Calculations'!$F$15-'Mass Ion Calculations'!E6)))</f>
        <v>1798.88824</v>
      </c>
      <c r="C6">
        <f>IF(A6="","",B6+'AA Exact Masses'!Q$2)</f>
        <v>1799.89606</v>
      </c>
      <c r="D6">
        <f>IF(A6="","",B6+'AA Exact Masses'!Q$3)</f>
        <v>1821.8780400000001</v>
      </c>
      <c r="E6">
        <f>IF(A6="","",(B6+2*'AA Exact Masses'!Q$2)/2)</f>
        <v>900.45194000000004</v>
      </c>
      <c r="F6">
        <f>IF(A6="","",(B6+2*'AA Exact Masses'!Q$3)/2)</f>
        <v>922.43391999999994</v>
      </c>
      <c r="G6">
        <f>IF(A6="","",(B6+'AA Exact Masses'!Q$2+'AA Exact Masses'!Q$3)/2)</f>
        <v>911.44293000000005</v>
      </c>
      <c r="H6">
        <f>IF($A6="","",($B6+3*'AA Exact Masses'!$Q$2)/3)</f>
        <v>600.63723333333337</v>
      </c>
      <c r="I6">
        <f>IF($A6="","",($B6+2*'AA Exact Masses'!$Q$2+'AA Exact Masses'!$Q$3)/3)</f>
        <v>607.96456000000001</v>
      </c>
      <c r="J6">
        <f>IF($A6="","",($B6+'AA Exact Masses'!$Q$2+2*'AA Exact Masses'!$Q$3)/3)</f>
        <v>615.29188666666664</v>
      </c>
      <c r="K6">
        <f>IF($A6="","",($B6+3*'AA Exact Masses'!$Q$3)/3)</f>
        <v>622.61921333333328</v>
      </c>
      <c r="L6" s="1"/>
      <c r="M6" s="21" t="str">
        <f t="shared" si="0"/>
        <v>Ala</v>
      </c>
      <c r="N6" s="48">
        <f>IF('Mass Ion Calculations'!$Y6=TRUE,(IF(A6="","",'1st Deletion Fragment'!C6-'Mass Ion Calculations'!$D$5)),"-")</f>
        <v>552.89606000000003</v>
      </c>
      <c r="O6" s="48">
        <f>IF('Mass Ion Calculations'!$Y6=TRUE,(IF(B6="","",'1st Deletion Fragment'!D6-'Mass Ion Calculations'!$D$5)),"-")</f>
        <v>574.87804000000006</v>
      </c>
      <c r="P6" s="48">
        <f>IF('Mass Ion Calculations'!$Y6=TRUE,(IF(C6="","",'1st Deletion Fragment'!E6-'Mass Ion Calculations'!$D$5)),"-")</f>
        <v>-346.54805999999996</v>
      </c>
      <c r="Q6" s="48">
        <f>IF('Mass Ion Calculations'!$Y6=TRUE,(IF(D6="","",'1st Deletion Fragment'!F6-'Mass Ion Calculations'!$D$5)),"-")</f>
        <v>-324.56608000000006</v>
      </c>
      <c r="R6" s="48">
        <f>IF('Mass Ion Calculations'!$Y6=TRUE,(IF(E6="","",'1st Deletion Fragment'!G6-'Mass Ion Calculations'!$D$5)),"-")</f>
        <v>-335.55706999999995</v>
      </c>
      <c r="S6" s="48">
        <f>IF('Mass Ion Calculations'!$Y6=TRUE,(IF(F6="","",'1st Deletion Fragment'!H6-'Mass Ion Calculations'!$D$5)),"-")</f>
        <v>-646.36276666666663</v>
      </c>
      <c r="T6" s="48">
        <f>IF('Mass Ion Calculations'!$Y6=TRUE,(IF(G6="","",'1st Deletion Fragment'!I6-'Mass Ion Calculations'!$D$5)),"-")</f>
        <v>-639.03543999999999</v>
      </c>
      <c r="U6" s="48">
        <f>IF('Mass Ion Calculations'!$Y6=TRUE,(IF(H6="","",'1st Deletion Fragment'!J6-'Mass Ion Calculations'!$D$5)),"-")</f>
        <v>-631.70811333333336</v>
      </c>
      <c r="V6" s="48">
        <f>IF('Mass Ion Calculations'!$Y6=TRUE,(IF(I6="","",'1st Deletion Fragment'!K6-'Mass Ion Calculations'!$D$5)),"-")</f>
        <v>-624.38078666666672</v>
      </c>
      <c r="W6" s="2"/>
      <c r="X6">
        <f t="shared" ref="X6:X42" si="10">Y6:Y30*Z6:Z15*AA6:AA15*AB6:AB15*AC6:AC15*AD6:AD15*AE6:AE15*AF6:AF15*AG6:AG15</f>
        <v>-1.9637420215543602E+24</v>
      </c>
      <c r="Y6" s="3">
        <f t="shared" ref="Y6:Y42" si="11">IF(N6="-",1,FLOOR(N6,1))</f>
        <v>552</v>
      </c>
      <c r="Z6" s="3">
        <f t="shared" ref="Z6:Z42" si="12">IF(O6="-",1,FLOOR(O6,1))</f>
        <v>574</v>
      </c>
      <c r="AA6" s="3">
        <f t="shared" ref="AA6:AA42" si="13">IF(P6="-",1,FLOOR(P6,1))</f>
        <v>-347</v>
      </c>
      <c r="AB6" s="3">
        <f t="shared" ref="AB6:AB42" si="14">IF(Q6="-",1,FLOOR(Q6,1))</f>
        <v>-325</v>
      </c>
      <c r="AC6" s="3">
        <f t="shared" ref="AC6:AC42" si="15">IF(R6="-",1,FLOOR(R6,1))</f>
        <v>-336</v>
      </c>
      <c r="AD6" s="3">
        <f t="shared" ref="AD6:AD42" si="16">IF(S6="-",1,FLOOR(S6,1))</f>
        <v>-647</v>
      </c>
      <c r="AE6" s="3">
        <f t="shared" ref="AE6:AE42" si="17">IF(T6="-",1,FLOOR(T6,1))</f>
        <v>-640</v>
      </c>
      <c r="AF6" s="3">
        <f t="shared" ref="AF6:AF42" si="18">IF(U6="-",1,FLOOR(U6,1))</f>
        <v>-632</v>
      </c>
      <c r="AG6" s="3">
        <f t="shared" ref="AG6:AG42" si="19">IF(V6="-",1,FLOOR(V6,1))</f>
        <v>-625</v>
      </c>
      <c r="AH6" t="str">
        <f t="shared" ref="AH6:AH40" si="20">M6</f>
        <v>Ala</v>
      </c>
    </row>
    <row r="7" spans="1:34" x14ac:dyDescent="0.25">
      <c r="A7" s="19" t="str">
        <f>IF('Mass Ion Calculations'!B7="","",'Mass Ion Calculations'!B7)</f>
        <v>Ile</v>
      </c>
      <c r="B7">
        <f>IF(A7="","",IF('Mass Ion Calculations'!$D$6="Yes",IF('Mass Ion Calculations'!$D$7="Yes",'Mass Ion Calculations'!$D$18-'Mass Ion Calculations'!C7,'Mass Ion Calculations'!$F$18-'Mass Ion Calculations'!E7),IF('Mass Ion Calculations'!$D$7="Yes", 'Mass Ion Calculations'!$D$15-'Mass Ion Calculations'!C7,'Mass Ion Calculations'!$F$15-'Mass Ion Calculations'!E7)))</f>
        <v>1756.8412900000001</v>
      </c>
      <c r="C7">
        <f>IF(A7="","",B7+'AA Exact Masses'!Q$2)</f>
        <v>1757.8491100000001</v>
      </c>
      <c r="D7">
        <f>IF(A7="","",B7+'AA Exact Masses'!Q$3)</f>
        <v>1779.8310900000001</v>
      </c>
      <c r="E7">
        <f>IF(A7="","",(B7+2*'AA Exact Masses'!Q$2)/2)</f>
        <v>879.42846500000007</v>
      </c>
      <c r="F7">
        <f>IF(A7="","",(B7+2*'AA Exact Masses'!Q$3)/2)</f>
        <v>901.41044499999998</v>
      </c>
      <c r="G7">
        <f>IF(A7="","",(B7+'AA Exact Masses'!Q$2+'AA Exact Masses'!Q$3)/2)</f>
        <v>890.41945500000008</v>
      </c>
      <c r="H7">
        <f>IF($A7="","",($B7+3*'AA Exact Masses'!$Q$2)/3)</f>
        <v>586.62158333333343</v>
      </c>
      <c r="I7">
        <f>IF($A7="","",($B7+2*'AA Exact Masses'!$Q$2+'AA Exact Masses'!$Q$3)/3)</f>
        <v>593.94891000000007</v>
      </c>
      <c r="J7">
        <f>IF($A7="","",($B7+'AA Exact Masses'!$Q$2+2*'AA Exact Masses'!$Q$3)/3)</f>
        <v>601.2762366666667</v>
      </c>
      <c r="K7">
        <f>IF($A7="","",($B7+3*'AA Exact Masses'!$Q$3)/3)</f>
        <v>608.60356333333334</v>
      </c>
      <c r="L7" s="1"/>
      <c r="M7" s="21" t="str">
        <f t="shared" si="0"/>
        <v>Ile</v>
      </c>
      <c r="N7" s="48">
        <f>IF('Mass Ion Calculations'!$Y7=TRUE,(IF(A7="","",'1st Deletion Fragment'!C7-'Mass Ion Calculations'!$D$5)),"-")</f>
        <v>510.84911000000011</v>
      </c>
      <c r="O7" s="48">
        <f>IF('Mass Ion Calculations'!$Y7=TRUE,(IF(B7="","",'1st Deletion Fragment'!D7-'Mass Ion Calculations'!$D$5)),"-")</f>
        <v>532.83109000000013</v>
      </c>
      <c r="P7" s="48">
        <f>IF('Mass Ion Calculations'!$Y7=TRUE,(IF(C7="","",'1st Deletion Fragment'!E7-'Mass Ion Calculations'!$D$5)),"-")</f>
        <v>-367.57153499999993</v>
      </c>
      <c r="Q7" s="48">
        <f>IF('Mass Ion Calculations'!$Y7=TRUE,(IF(D7="","",'1st Deletion Fragment'!F7-'Mass Ion Calculations'!$D$5)),"-")</f>
        <v>-345.58955500000002</v>
      </c>
      <c r="R7" s="48">
        <f>IF('Mass Ion Calculations'!$Y7=TRUE,(IF(E7="","",'1st Deletion Fragment'!G7-'Mass Ion Calculations'!$D$5)),"-")</f>
        <v>-356.58054499999992</v>
      </c>
      <c r="S7" s="48">
        <f>IF('Mass Ion Calculations'!$Y7=TRUE,(IF(F7="","",'1st Deletion Fragment'!H7-'Mass Ion Calculations'!$D$5)),"-")</f>
        <v>-660.37841666666657</v>
      </c>
      <c r="T7" s="48">
        <f>IF('Mass Ion Calculations'!$Y7=TRUE,(IF(G7="","",'1st Deletion Fragment'!I7-'Mass Ion Calculations'!$D$5)),"-")</f>
        <v>-653.05108999999993</v>
      </c>
      <c r="U7" s="48">
        <f>IF('Mass Ion Calculations'!$Y7=TRUE,(IF(H7="","",'1st Deletion Fragment'!J7-'Mass Ion Calculations'!$D$5)),"-")</f>
        <v>-645.7237633333333</v>
      </c>
      <c r="V7" s="48">
        <f>IF('Mass Ion Calculations'!$Y7=TRUE,(IF(I7="","",'1st Deletion Fragment'!K7-'Mass Ion Calculations'!$D$5)),"-")</f>
        <v>-638.39643666666666</v>
      </c>
      <c r="W7" s="2"/>
      <c r="X7">
        <f t="shared" si="10"/>
        <v>-2.2008301446741031E+24</v>
      </c>
      <c r="Y7" s="3">
        <f t="shared" si="11"/>
        <v>510</v>
      </c>
      <c r="Z7" s="3">
        <f t="shared" si="12"/>
        <v>532</v>
      </c>
      <c r="AA7" s="3">
        <f t="shared" si="13"/>
        <v>-368</v>
      </c>
      <c r="AB7" s="3">
        <f t="shared" si="14"/>
        <v>-346</v>
      </c>
      <c r="AC7" s="3">
        <f t="shared" si="15"/>
        <v>-357</v>
      </c>
      <c r="AD7" s="3">
        <f t="shared" si="16"/>
        <v>-661</v>
      </c>
      <c r="AE7" s="3">
        <f t="shared" si="17"/>
        <v>-654</v>
      </c>
      <c r="AF7" s="3">
        <f t="shared" si="18"/>
        <v>-646</v>
      </c>
      <c r="AG7" s="3">
        <f t="shared" si="19"/>
        <v>-639</v>
      </c>
      <c r="AH7" t="str">
        <f t="shared" si="20"/>
        <v>Ile</v>
      </c>
    </row>
    <row r="8" spans="1:34" x14ac:dyDescent="0.25">
      <c r="A8" s="19" t="str">
        <f>IF('Mass Ion Calculations'!B8="","",'Mass Ion Calculations'!B8)</f>
        <v>Ile</v>
      </c>
      <c r="B8">
        <f>IF(A8="","",IF('Mass Ion Calculations'!$D$6="Yes",IF('Mass Ion Calculations'!$D$7="Yes",'Mass Ion Calculations'!$D$18-'Mass Ion Calculations'!C8,'Mass Ion Calculations'!$F$18-'Mass Ion Calculations'!E8),IF('Mass Ion Calculations'!$D$7="Yes", 'Mass Ion Calculations'!$D$15-'Mass Ion Calculations'!C8,'Mass Ion Calculations'!$F$15-'Mass Ion Calculations'!E8)))</f>
        <v>1756.8412900000001</v>
      </c>
      <c r="C8">
        <f>IF(A8="","",B8+'AA Exact Masses'!Q$2)</f>
        <v>1757.8491100000001</v>
      </c>
      <c r="D8">
        <f>IF(A8="","",B8+'AA Exact Masses'!Q$3)</f>
        <v>1779.8310900000001</v>
      </c>
      <c r="E8">
        <f>IF(A8="","",(B8+2*'AA Exact Masses'!Q$2)/2)</f>
        <v>879.42846500000007</v>
      </c>
      <c r="F8">
        <f>IF(A8="","",(B8+2*'AA Exact Masses'!Q$3)/2)</f>
        <v>901.41044499999998</v>
      </c>
      <c r="G8">
        <f>IF(A8="","",(B8+'AA Exact Masses'!Q$2+'AA Exact Masses'!Q$3)/2)</f>
        <v>890.41945500000008</v>
      </c>
      <c r="H8">
        <f>IF($A8="","",($B8+3*'AA Exact Masses'!$Q$2)/3)</f>
        <v>586.62158333333343</v>
      </c>
      <c r="I8">
        <f>IF($A8="","",($B8+2*'AA Exact Masses'!$Q$2+'AA Exact Masses'!$Q$3)/3)</f>
        <v>593.94891000000007</v>
      </c>
      <c r="J8">
        <f>IF($A8="","",($B8+'AA Exact Masses'!$Q$2+2*'AA Exact Masses'!$Q$3)/3)</f>
        <v>601.2762366666667</v>
      </c>
      <c r="K8">
        <f>IF($A8="","",($B8+3*'AA Exact Masses'!$Q$3)/3)</f>
        <v>608.60356333333334</v>
      </c>
      <c r="L8" s="1"/>
      <c r="M8" s="21" t="str">
        <f t="shared" si="0"/>
        <v>Ile</v>
      </c>
      <c r="N8" s="48">
        <f>IF('Mass Ion Calculations'!$Y8=TRUE,(IF(A8="","",'1st Deletion Fragment'!C8-'Mass Ion Calculations'!$D$5)),"-")</f>
        <v>510.84911000000011</v>
      </c>
      <c r="O8" s="48">
        <f>IF('Mass Ion Calculations'!$Y8=TRUE,(IF(B8="","",'1st Deletion Fragment'!D8-'Mass Ion Calculations'!$D$5)),"-")</f>
        <v>532.83109000000013</v>
      </c>
      <c r="P8" s="48">
        <f>IF('Mass Ion Calculations'!$Y8=TRUE,(IF(C8="","",'1st Deletion Fragment'!E8-'Mass Ion Calculations'!$D$5)),"-")</f>
        <v>-367.57153499999993</v>
      </c>
      <c r="Q8" s="48">
        <f>IF('Mass Ion Calculations'!$Y8=TRUE,(IF(D8="","",'1st Deletion Fragment'!F8-'Mass Ion Calculations'!$D$5)),"-")</f>
        <v>-345.58955500000002</v>
      </c>
      <c r="R8" s="48">
        <f>IF('Mass Ion Calculations'!$Y8=TRUE,(IF(E8="","",'1st Deletion Fragment'!G8-'Mass Ion Calculations'!$D$5)),"-")</f>
        <v>-356.58054499999992</v>
      </c>
      <c r="S8" s="48">
        <f>IF('Mass Ion Calculations'!$Y8=TRUE,(IF(F8="","",'1st Deletion Fragment'!H8-'Mass Ion Calculations'!$D$5)),"-")</f>
        <v>-660.37841666666657</v>
      </c>
      <c r="T8" s="48">
        <f>IF('Mass Ion Calculations'!$Y8=TRUE,(IF(G8="","",'1st Deletion Fragment'!I8-'Mass Ion Calculations'!$D$5)),"-")</f>
        <v>-653.05108999999993</v>
      </c>
      <c r="U8" s="48">
        <f>IF('Mass Ion Calculations'!$Y8=TRUE,(IF(H8="","",'1st Deletion Fragment'!J8-'Mass Ion Calculations'!$D$5)),"-")</f>
        <v>-645.7237633333333</v>
      </c>
      <c r="V8" s="48">
        <f>IF('Mass Ion Calculations'!$Y8=TRUE,(IF(I8="","",'1st Deletion Fragment'!K8-'Mass Ion Calculations'!$D$5)),"-")</f>
        <v>-638.39643666666666</v>
      </c>
      <c r="W8" s="2"/>
      <c r="X8">
        <f t="shared" si="10"/>
        <v>-2.2008301446741031E+24</v>
      </c>
      <c r="Y8" s="3">
        <f t="shared" si="11"/>
        <v>510</v>
      </c>
      <c r="Z8" s="3">
        <f t="shared" si="12"/>
        <v>532</v>
      </c>
      <c r="AA8" s="3">
        <f t="shared" si="13"/>
        <v>-368</v>
      </c>
      <c r="AB8" s="3">
        <f t="shared" si="14"/>
        <v>-346</v>
      </c>
      <c r="AC8" s="3">
        <f t="shared" si="15"/>
        <v>-357</v>
      </c>
      <c r="AD8" s="3">
        <f t="shared" si="16"/>
        <v>-661</v>
      </c>
      <c r="AE8" s="3">
        <f t="shared" si="17"/>
        <v>-654</v>
      </c>
      <c r="AF8" s="3">
        <f t="shared" si="18"/>
        <v>-646</v>
      </c>
      <c r="AG8" s="3">
        <f t="shared" si="19"/>
        <v>-639</v>
      </c>
      <c r="AH8" t="str">
        <f t="shared" si="20"/>
        <v>Ile</v>
      </c>
    </row>
    <row r="9" spans="1:34" x14ac:dyDescent="0.25">
      <c r="A9" s="19" t="str">
        <f>IF('Mass Ion Calculations'!B9="","",'Mass Ion Calculations'!B9)</f>
        <v>N-Meth-Gly</v>
      </c>
      <c r="B9">
        <f>IF(A9="","",IF('Mass Ion Calculations'!$D$6="Yes",IF('Mass Ion Calculations'!$D$7="Yes",'Mass Ion Calculations'!$D$18-'Mass Ion Calculations'!C9,'Mass Ion Calculations'!$F$18-'Mass Ion Calculations'!E9),IF('Mass Ion Calculations'!$D$7="Yes", 'Mass Ion Calculations'!$D$15-'Mass Ion Calculations'!C9,'Mass Ion Calculations'!$F$15-'Mass Ion Calculations'!E9)))</f>
        <v>1798.88824</v>
      </c>
      <c r="C9">
        <f>IF(A9="","",B9+'AA Exact Masses'!Q$2)</f>
        <v>1799.89606</v>
      </c>
      <c r="D9">
        <f>IF(A9="","",B9+'AA Exact Masses'!Q$3)</f>
        <v>1821.8780400000001</v>
      </c>
      <c r="E9">
        <f>IF(A9="","",(B9+2*'AA Exact Masses'!Q$2)/2)</f>
        <v>900.45194000000004</v>
      </c>
      <c r="F9">
        <f>IF(A9="","",(B9+2*'AA Exact Masses'!Q$3)/2)</f>
        <v>922.43391999999994</v>
      </c>
      <c r="G9">
        <f>IF(A9="","",(B9+'AA Exact Masses'!Q$2+'AA Exact Masses'!Q$3)/2)</f>
        <v>911.44293000000005</v>
      </c>
      <c r="H9">
        <f>IF($A9="","",($B9+3*'AA Exact Masses'!$Q$2)/3)</f>
        <v>600.63723333333337</v>
      </c>
      <c r="I9">
        <f>IF($A9="","",($B9+2*'AA Exact Masses'!$Q$2+'AA Exact Masses'!$Q$3)/3)</f>
        <v>607.96456000000001</v>
      </c>
      <c r="J9">
        <f>IF($A9="","",($B9+'AA Exact Masses'!$Q$2+2*'AA Exact Masses'!$Q$3)/3)</f>
        <v>615.29188666666664</v>
      </c>
      <c r="K9">
        <f>IF($A9="","",($B9+3*'AA Exact Masses'!$Q$3)/3)</f>
        <v>622.61921333333328</v>
      </c>
      <c r="L9" s="1"/>
      <c r="M9" s="21" t="str">
        <f t="shared" si="0"/>
        <v>N-Meth-Gly</v>
      </c>
      <c r="N9" s="48">
        <f>IF('Mass Ion Calculations'!$Y9=TRUE,(IF(A9="","",'1st Deletion Fragment'!C9-'Mass Ion Calculations'!$D$5)),"-")</f>
        <v>552.89606000000003</v>
      </c>
      <c r="O9" s="48">
        <f>IF('Mass Ion Calculations'!$Y9=TRUE,(IF(B9="","",'1st Deletion Fragment'!D9-'Mass Ion Calculations'!$D$5)),"-")</f>
        <v>574.87804000000006</v>
      </c>
      <c r="P9" s="48">
        <f>IF('Mass Ion Calculations'!$Y9=TRUE,(IF(C9="","",'1st Deletion Fragment'!E9-'Mass Ion Calculations'!$D$5)),"-")</f>
        <v>-346.54805999999996</v>
      </c>
      <c r="Q9" s="48">
        <f>IF('Mass Ion Calculations'!$Y9=TRUE,(IF(D9="","",'1st Deletion Fragment'!F9-'Mass Ion Calculations'!$D$5)),"-")</f>
        <v>-324.56608000000006</v>
      </c>
      <c r="R9" s="48">
        <f>IF('Mass Ion Calculations'!$Y9=TRUE,(IF(E9="","",'1st Deletion Fragment'!G9-'Mass Ion Calculations'!$D$5)),"-")</f>
        <v>-335.55706999999995</v>
      </c>
      <c r="S9" s="48">
        <f>IF('Mass Ion Calculations'!$Y9=TRUE,(IF(F9="","",'1st Deletion Fragment'!H9-'Mass Ion Calculations'!$D$5)),"-")</f>
        <v>-646.36276666666663</v>
      </c>
      <c r="T9" s="48">
        <f>IF('Mass Ion Calculations'!$Y9=TRUE,(IF(G9="","",'1st Deletion Fragment'!I9-'Mass Ion Calculations'!$D$5)),"-")</f>
        <v>-639.03543999999999</v>
      </c>
      <c r="U9" s="48">
        <f>IF('Mass Ion Calculations'!$Y9=TRUE,(IF(H9="","",'1st Deletion Fragment'!J9-'Mass Ion Calculations'!$D$5)),"-")</f>
        <v>-631.70811333333336</v>
      </c>
      <c r="V9" s="48">
        <f>IF('Mass Ion Calculations'!$Y9=TRUE,(IF(I9="","",'1st Deletion Fragment'!K9-'Mass Ion Calculations'!$D$5)),"-")</f>
        <v>-624.38078666666672</v>
      </c>
      <c r="W9" s="2"/>
      <c r="X9">
        <f t="shared" si="10"/>
        <v>-1.9637420215543602E+24</v>
      </c>
      <c r="Y9" s="3">
        <f t="shared" si="11"/>
        <v>552</v>
      </c>
      <c r="Z9" s="3">
        <f t="shared" si="12"/>
        <v>574</v>
      </c>
      <c r="AA9" s="3">
        <f t="shared" si="13"/>
        <v>-347</v>
      </c>
      <c r="AB9" s="3">
        <f t="shared" si="14"/>
        <v>-325</v>
      </c>
      <c r="AC9" s="3">
        <f t="shared" si="15"/>
        <v>-336</v>
      </c>
      <c r="AD9" s="3">
        <f t="shared" si="16"/>
        <v>-647</v>
      </c>
      <c r="AE9" s="3">
        <f t="shared" si="17"/>
        <v>-640</v>
      </c>
      <c r="AF9" s="3">
        <f t="shared" si="18"/>
        <v>-632</v>
      </c>
      <c r="AG9" s="3">
        <f t="shared" si="19"/>
        <v>-625</v>
      </c>
      <c r="AH9" t="str">
        <f t="shared" si="20"/>
        <v>N-Meth-Gly</v>
      </c>
    </row>
    <row r="10" spans="1:34" x14ac:dyDescent="0.25">
      <c r="A10" s="19" t="str">
        <f>IF('Mass Ion Calculations'!B10="","",'Mass Ion Calculations'!B10)</f>
        <v>Leu</v>
      </c>
      <c r="B10">
        <f>IF(A10="","",IF('Mass Ion Calculations'!$D$6="Yes",IF('Mass Ion Calculations'!$D$7="Yes",'Mass Ion Calculations'!$D$18-'Mass Ion Calculations'!C10,'Mass Ion Calculations'!$F$18-'Mass Ion Calculations'!E10),IF('Mass Ion Calculations'!$D$7="Yes", 'Mass Ion Calculations'!$D$15-'Mass Ion Calculations'!C10,'Mass Ion Calculations'!$F$15-'Mass Ion Calculations'!E10)))</f>
        <v>1756.8412900000001</v>
      </c>
      <c r="C10">
        <f>IF(A10="","",B10+'AA Exact Masses'!Q$2)</f>
        <v>1757.8491100000001</v>
      </c>
      <c r="D10">
        <f>IF(A10="","",B10+'AA Exact Masses'!Q$3)</f>
        <v>1779.8310900000001</v>
      </c>
      <c r="E10">
        <f>IF(A10="","",(B10+2*'AA Exact Masses'!Q$2)/2)</f>
        <v>879.42846500000007</v>
      </c>
      <c r="F10">
        <f>IF(A10="","",(B10+2*'AA Exact Masses'!Q$3)/2)</f>
        <v>901.41044499999998</v>
      </c>
      <c r="G10">
        <f>IF(A10="","",(B10+'AA Exact Masses'!Q$2+'AA Exact Masses'!Q$3)/2)</f>
        <v>890.41945500000008</v>
      </c>
      <c r="H10">
        <f>IF($A10="","",($B10+3*'AA Exact Masses'!$Q$2)/3)</f>
        <v>586.62158333333343</v>
      </c>
      <c r="I10">
        <f>IF($A10="","",($B10+2*'AA Exact Masses'!$Q$2+'AA Exact Masses'!$Q$3)/3)</f>
        <v>593.94891000000007</v>
      </c>
      <c r="J10">
        <f>IF($A10="","",($B10+'AA Exact Masses'!$Q$2+2*'AA Exact Masses'!$Q$3)/3)</f>
        <v>601.2762366666667</v>
      </c>
      <c r="K10">
        <f>IF($A10="","",($B10+3*'AA Exact Masses'!$Q$3)/3)</f>
        <v>608.60356333333334</v>
      </c>
      <c r="L10" s="1"/>
      <c r="M10" s="21" t="str">
        <f t="shared" si="0"/>
        <v>Leu</v>
      </c>
      <c r="N10" s="48">
        <f>IF('Mass Ion Calculations'!$Y10=TRUE,(IF(A10="","",'1st Deletion Fragment'!C10-'Mass Ion Calculations'!$D$5)),"-")</f>
        <v>510.84911000000011</v>
      </c>
      <c r="O10" s="48">
        <f>IF('Mass Ion Calculations'!$Y10=TRUE,(IF(B10="","",'1st Deletion Fragment'!D10-'Mass Ion Calculations'!$D$5)),"-")</f>
        <v>532.83109000000013</v>
      </c>
      <c r="P10" s="48">
        <f>IF('Mass Ion Calculations'!$Y10=TRUE,(IF(C10="","",'1st Deletion Fragment'!E10-'Mass Ion Calculations'!$D$5)),"-")</f>
        <v>-367.57153499999993</v>
      </c>
      <c r="Q10" s="48">
        <f>IF('Mass Ion Calculations'!$Y10=TRUE,(IF(D10="","",'1st Deletion Fragment'!F10-'Mass Ion Calculations'!$D$5)),"-")</f>
        <v>-345.58955500000002</v>
      </c>
      <c r="R10" s="48">
        <f>IF('Mass Ion Calculations'!$Y10=TRUE,(IF(E10="","",'1st Deletion Fragment'!G10-'Mass Ion Calculations'!$D$5)),"-")</f>
        <v>-356.58054499999992</v>
      </c>
      <c r="S10" s="48">
        <f>IF('Mass Ion Calculations'!$Y10=TRUE,(IF(F10="","",'1st Deletion Fragment'!H10-'Mass Ion Calculations'!$D$5)),"-")</f>
        <v>-660.37841666666657</v>
      </c>
      <c r="T10" s="48">
        <f>IF('Mass Ion Calculations'!$Y10=TRUE,(IF(G10="","",'1st Deletion Fragment'!I10-'Mass Ion Calculations'!$D$5)),"-")</f>
        <v>-653.05108999999993</v>
      </c>
      <c r="U10" s="48">
        <f>IF('Mass Ion Calculations'!$Y10=TRUE,(IF(H10="","",'1st Deletion Fragment'!J10-'Mass Ion Calculations'!$D$5)),"-")</f>
        <v>-645.7237633333333</v>
      </c>
      <c r="V10" s="48">
        <f>IF('Mass Ion Calculations'!$Y10=TRUE,(IF(I10="","",'1st Deletion Fragment'!K10-'Mass Ion Calculations'!$D$5)),"-")</f>
        <v>-638.39643666666666</v>
      </c>
      <c r="W10" s="2"/>
      <c r="X10">
        <f t="shared" si="10"/>
        <v>-2.2008301446741031E+24</v>
      </c>
      <c r="Y10" s="3">
        <f t="shared" si="11"/>
        <v>510</v>
      </c>
      <c r="Z10" s="3">
        <f t="shared" si="12"/>
        <v>532</v>
      </c>
      <c r="AA10" s="3">
        <f t="shared" si="13"/>
        <v>-368</v>
      </c>
      <c r="AB10" s="3">
        <f t="shared" si="14"/>
        <v>-346</v>
      </c>
      <c r="AC10" s="3">
        <f t="shared" si="15"/>
        <v>-357</v>
      </c>
      <c r="AD10" s="3">
        <f t="shared" si="16"/>
        <v>-661</v>
      </c>
      <c r="AE10" s="3">
        <f t="shared" si="17"/>
        <v>-654</v>
      </c>
      <c r="AF10" s="3">
        <f t="shared" si="18"/>
        <v>-646</v>
      </c>
      <c r="AG10" s="3">
        <f t="shared" si="19"/>
        <v>-639</v>
      </c>
      <c r="AH10" t="str">
        <f t="shared" si="20"/>
        <v>Leu</v>
      </c>
    </row>
    <row r="11" spans="1:34" x14ac:dyDescent="0.25">
      <c r="A11" s="19" t="str">
        <f>IF('Mass Ion Calculations'!B11="","",'Mass Ion Calculations'!B11)</f>
        <v>Orn(Boc)</v>
      </c>
      <c r="B11">
        <f>IF(A11="","",IF('Mass Ion Calculations'!$D$6="Yes",IF('Mass Ion Calculations'!$D$7="Yes",'Mass Ion Calculations'!$D$18-'Mass Ion Calculations'!C11,'Mass Ion Calculations'!$F$18-'Mass Ion Calculations'!E11),IF('Mass Ion Calculations'!$D$7="Yes", 'Mass Ion Calculations'!$D$15-'Mass Ion Calculations'!C11,'Mass Ion Calculations'!$F$15-'Mass Ion Calculations'!E11)))</f>
        <v>1755.8460299999999</v>
      </c>
      <c r="C11">
        <f>IF(A11="","",B11+'AA Exact Masses'!Q$2)</f>
        <v>1756.85385</v>
      </c>
      <c r="D11">
        <f>IF(A11="","",B11+'AA Exact Masses'!Q$3)</f>
        <v>1778.83583</v>
      </c>
      <c r="E11">
        <f>IF(A11="","",(B11+2*'AA Exact Masses'!Q$2)/2)</f>
        <v>878.930835</v>
      </c>
      <c r="F11">
        <f>IF(A11="","",(B11+2*'AA Exact Masses'!Q$3)/2)</f>
        <v>900.91281499999991</v>
      </c>
      <c r="G11">
        <f>IF(A11="","",(B11+'AA Exact Masses'!Q$2+'AA Exact Masses'!Q$3)/2)</f>
        <v>889.92182500000001</v>
      </c>
      <c r="H11">
        <f>IF($A11="","",($B11+3*'AA Exact Masses'!$Q$2)/3)</f>
        <v>586.28983000000005</v>
      </c>
      <c r="I11">
        <f>IF($A11="","",($B11+2*'AA Exact Masses'!$Q$2+'AA Exact Masses'!$Q$3)/3)</f>
        <v>593.61715666666669</v>
      </c>
      <c r="J11">
        <f>IF($A11="","",($B11+'AA Exact Masses'!$Q$2+2*'AA Exact Masses'!$Q$3)/3)</f>
        <v>600.94448333333332</v>
      </c>
      <c r="K11">
        <f>IF($A11="","",($B11+3*'AA Exact Masses'!$Q$3)/3)</f>
        <v>608.27180999999996</v>
      </c>
      <c r="L11" s="1"/>
      <c r="M11" s="21" t="str">
        <f t="shared" si="0"/>
        <v>Orn(Boc)</v>
      </c>
      <c r="N11" s="48">
        <f>IF('Mass Ion Calculations'!$Y11=TRUE,(IF(A11="","",'1st Deletion Fragment'!C11-'Mass Ion Calculations'!$D$5)),"-")</f>
        <v>509.85384999999997</v>
      </c>
      <c r="O11" s="48">
        <f>IF('Mass Ion Calculations'!$Y11=TRUE,(IF(B11="","",'1st Deletion Fragment'!D11-'Mass Ion Calculations'!$D$5)),"-")</f>
        <v>531.83582999999999</v>
      </c>
      <c r="P11" s="48">
        <f>IF('Mass Ion Calculations'!$Y11=TRUE,(IF(C11="","",'1st Deletion Fragment'!E11-'Mass Ion Calculations'!$D$5)),"-")</f>
        <v>-368.069165</v>
      </c>
      <c r="Q11" s="48">
        <f>IF('Mass Ion Calculations'!$Y11=TRUE,(IF(D11="","",'1st Deletion Fragment'!F11-'Mass Ion Calculations'!$D$5)),"-")</f>
        <v>-346.08718500000009</v>
      </c>
      <c r="R11" s="48">
        <f>IF('Mass Ion Calculations'!$Y11=TRUE,(IF(E11="","",'1st Deletion Fragment'!G11-'Mass Ion Calculations'!$D$5)),"-")</f>
        <v>-357.07817499999999</v>
      </c>
      <c r="S11" s="48">
        <f>IF('Mass Ion Calculations'!$Y11=TRUE,(IF(F11="","",'1st Deletion Fragment'!H11-'Mass Ion Calculations'!$D$5)),"-")</f>
        <v>-660.71016999999995</v>
      </c>
      <c r="T11" s="48">
        <f>IF('Mass Ion Calculations'!$Y11=TRUE,(IF(G11="","",'1st Deletion Fragment'!I11-'Mass Ion Calculations'!$D$5)),"-")</f>
        <v>-653.38284333333331</v>
      </c>
      <c r="U11" s="48">
        <f>IF('Mass Ion Calculations'!$Y11=TRUE,(IF(H11="","",'1st Deletion Fragment'!J11-'Mass Ion Calculations'!$D$5)),"-")</f>
        <v>-646.05551666666668</v>
      </c>
      <c r="V11" s="48">
        <f>IF('Mass Ion Calculations'!$Y11=TRUE,(IF(I11="","",'1st Deletion Fragment'!K11-'Mass Ion Calculations'!$D$5)),"-")</f>
        <v>-638.72819000000004</v>
      </c>
      <c r="W11" s="2"/>
      <c r="X11">
        <f t="shared" si="10"/>
        <v>-2.2142951950822553E+24</v>
      </c>
      <c r="Y11" s="3">
        <f t="shared" si="11"/>
        <v>509</v>
      </c>
      <c r="Z11" s="3">
        <f t="shared" si="12"/>
        <v>531</v>
      </c>
      <c r="AA11" s="3">
        <f t="shared" si="13"/>
        <v>-369</v>
      </c>
      <c r="AB11" s="3">
        <f t="shared" si="14"/>
        <v>-347</v>
      </c>
      <c r="AC11" s="3">
        <f t="shared" si="15"/>
        <v>-358</v>
      </c>
      <c r="AD11" s="3">
        <f t="shared" si="16"/>
        <v>-661</v>
      </c>
      <c r="AE11" s="3">
        <f t="shared" si="17"/>
        <v>-654</v>
      </c>
      <c r="AF11" s="3">
        <f t="shared" si="18"/>
        <v>-647</v>
      </c>
      <c r="AG11" s="3">
        <f t="shared" si="19"/>
        <v>-639</v>
      </c>
      <c r="AH11" t="str">
        <f t="shared" si="20"/>
        <v>Orn(Boc)</v>
      </c>
    </row>
    <row r="12" spans="1:34" x14ac:dyDescent="0.25">
      <c r="A12" s="19" t="str">
        <f>IF('Mass Ion Calculations'!B12="","",'Mass Ion Calculations'!B12)</f>
        <v>Val</v>
      </c>
      <c r="B12">
        <f>IF(A12="","",IF('Mass Ion Calculations'!$D$6="Yes",IF('Mass Ion Calculations'!$D$7="Yes",'Mass Ion Calculations'!$D$18-'Mass Ion Calculations'!C12,'Mass Ion Calculations'!$F$18-'Mass Ion Calculations'!E12),IF('Mass Ion Calculations'!$D$7="Yes", 'Mass Ion Calculations'!$D$15-'Mass Ion Calculations'!C12,'Mass Ion Calculations'!$F$15-'Mass Ion Calculations'!E12)))</f>
        <v>1770.8569399999999</v>
      </c>
      <c r="C12">
        <f>IF(A12="","",B12+'AA Exact Masses'!Q$2)</f>
        <v>1771.8647599999999</v>
      </c>
      <c r="D12">
        <f>IF(A12="","",B12+'AA Exact Masses'!Q$3)</f>
        <v>1793.84674</v>
      </c>
      <c r="E12">
        <f>IF(A12="","",(B12+2*'AA Exact Masses'!Q$2)/2)</f>
        <v>886.43628999999999</v>
      </c>
      <c r="F12">
        <f>IF(A12="","",(B12+2*'AA Exact Masses'!Q$3)/2)</f>
        <v>908.41826999999989</v>
      </c>
      <c r="G12">
        <f>IF(A12="","",(B12+'AA Exact Masses'!Q$2+'AA Exact Masses'!Q$3)/2)</f>
        <v>897.42728</v>
      </c>
      <c r="H12">
        <f>IF($A12="","",($B12+3*'AA Exact Masses'!$Q$2)/3)</f>
        <v>591.29346666666663</v>
      </c>
      <c r="I12">
        <f>IF($A12="","",($B12+2*'AA Exact Masses'!$Q$2+'AA Exact Masses'!$Q$3)/3)</f>
        <v>598.62079333333338</v>
      </c>
      <c r="J12">
        <f>IF($A12="","",($B12+'AA Exact Masses'!$Q$2+2*'AA Exact Masses'!$Q$3)/3)</f>
        <v>605.9481199999999</v>
      </c>
      <c r="K12">
        <f>IF($A12="","",($B12+3*'AA Exact Masses'!$Q$3)/3)</f>
        <v>613.27544666666665</v>
      </c>
      <c r="L12" s="1"/>
      <c r="M12" s="21" t="str">
        <f t="shared" si="0"/>
        <v>Val</v>
      </c>
      <c r="N12" s="48">
        <f>IF('Mass Ion Calculations'!$Y12=TRUE,(IF(A12="","",'1st Deletion Fragment'!C12-'Mass Ion Calculations'!$D$5)),"-")</f>
        <v>524.86475999999993</v>
      </c>
      <c r="O12" s="48">
        <f>IF('Mass Ion Calculations'!$Y12=TRUE,(IF(B12="","",'1st Deletion Fragment'!D12-'Mass Ion Calculations'!$D$5)),"-")</f>
        <v>546.84673999999995</v>
      </c>
      <c r="P12" s="48">
        <f>IF('Mass Ion Calculations'!$Y12=TRUE,(IF(C12="","",'1st Deletion Fragment'!E12-'Mass Ion Calculations'!$D$5)),"-")</f>
        <v>-360.56371000000001</v>
      </c>
      <c r="Q12" s="48">
        <f>IF('Mass Ion Calculations'!$Y12=TRUE,(IF(D12="","",'1st Deletion Fragment'!F12-'Mass Ion Calculations'!$D$5)),"-")</f>
        <v>-338.58173000000011</v>
      </c>
      <c r="R12" s="48">
        <f>IF('Mass Ion Calculations'!$Y12=TRUE,(IF(E12="","",'1st Deletion Fragment'!G12-'Mass Ion Calculations'!$D$5)),"-")</f>
        <v>-349.57272</v>
      </c>
      <c r="S12" s="48">
        <f>IF('Mass Ion Calculations'!$Y12=TRUE,(IF(F12="","",'1st Deletion Fragment'!H12-'Mass Ion Calculations'!$D$5)),"-")</f>
        <v>-655.70653333333337</v>
      </c>
      <c r="T12" s="48">
        <f>IF('Mass Ion Calculations'!$Y12=TRUE,(IF(G12="","",'1st Deletion Fragment'!I12-'Mass Ion Calculations'!$D$5)),"-")</f>
        <v>-648.37920666666662</v>
      </c>
      <c r="U12" s="48">
        <f>IF('Mass Ion Calculations'!$Y12=TRUE,(IF(H12="","",'1st Deletion Fragment'!J12-'Mass Ion Calculations'!$D$5)),"-")</f>
        <v>-641.0518800000001</v>
      </c>
      <c r="V12" s="48">
        <f>IF('Mass Ion Calculations'!$Y12=TRUE,(IF(I12="","",'1st Deletion Fragment'!K12-'Mass Ion Calculations'!$D$5)),"-")</f>
        <v>-633.72455333333335</v>
      </c>
      <c r="W12" s="2"/>
      <c r="X12">
        <f t="shared" si="10"/>
        <v>-2.1235950105091863E+24</v>
      </c>
      <c r="Y12" s="3">
        <f t="shared" si="11"/>
        <v>524</v>
      </c>
      <c r="Z12" s="3">
        <f t="shared" si="12"/>
        <v>546</v>
      </c>
      <c r="AA12" s="3">
        <f t="shared" si="13"/>
        <v>-361</v>
      </c>
      <c r="AB12" s="3">
        <f t="shared" si="14"/>
        <v>-339</v>
      </c>
      <c r="AC12" s="3">
        <f t="shared" si="15"/>
        <v>-350</v>
      </c>
      <c r="AD12" s="3">
        <f t="shared" si="16"/>
        <v>-656</v>
      </c>
      <c r="AE12" s="3">
        <f t="shared" si="17"/>
        <v>-649</v>
      </c>
      <c r="AF12" s="3">
        <f t="shared" si="18"/>
        <v>-642</v>
      </c>
      <c r="AG12" s="3">
        <f t="shared" si="19"/>
        <v>-634</v>
      </c>
      <c r="AH12" t="str">
        <f t="shared" si="20"/>
        <v>Val</v>
      </c>
    </row>
    <row r="13" spans="1:34" x14ac:dyDescent="0.25">
      <c r="A13" s="19" t="str">
        <f>IF('Mass Ion Calculations'!B13="","",'Mass Ion Calculations'!B13)</f>
        <v>Orn(Boc)</v>
      </c>
      <c r="B13">
        <f>IF(A13="","",IF('Mass Ion Calculations'!$D$6="Yes",IF('Mass Ion Calculations'!$D$7="Yes",'Mass Ion Calculations'!$D$18-'Mass Ion Calculations'!C13,'Mass Ion Calculations'!$F$18-'Mass Ion Calculations'!E13),IF('Mass Ion Calculations'!$D$7="Yes", 'Mass Ion Calculations'!$D$15-'Mass Ion Calculations'!C13,'Mass Ion Calculations'!$F$15-'Mass Ion Calculations'!E13)))</f>
        <v>1755.8460299999999</v>
      </c>
      <c r="C13">
        <f>IF(A13="","",B13+'AA Exact Masses'!Q$2)</f>
        <v>1756.85385</v>
      </c>
      <c r="D13">
        <f>IF(A13="","",B13+'AA Exact Masses'!Q$3)</f>
        <v>1778.83583</v>
      </c>
      <c r="E13">
        <f>IF(A13="","",(B13+2*'AA Exact Masses'!Q$2)/2)</f>
        <v>878.930835</v>
      </c>
      <c r="F13">
        <f>IF(A13="","",(B13+2*'AA Exact Masses'!Q$3)/2)</f>
        <v>900.91281499999991</v>
      </c>
      <c r="G13">
        <f>IF(A13="","",(B13+'AA Exact Masses'!Q$2+'AA Exact Masses'!Q$3)/2)</f>
        <v>889.92182500000001</v>
      </c>
      <c r="H13">
        <f>IF($A13="","",($B13+3*'AA Exact Masses'!$Q$2)/3)</f>
        <v>586.28983000000005</v>
      </c>
      <c r="I13">
        <f>IF($A13="","",($B13+2*'AA Exact Masses'!$Q$2+'AA Exact Masses'!$Q$3)/3)</f>
        <v>593.61715666666669</v>
      </c>
      <c r="J13">
        <f>IF($A13="","",($B13+'AA Exact Masses'!$Q$2+2*'AA Exact Masses'!$Q$3)/3)</f>
        <v>600.94448333333332</v>
      </c>
      <c r="K13">
        <f>IF($A13="","",($B13+3*'AA Exact Masses'!$Q$3)/3)</f>
        <v>608.27180999999996</v>
      </c>
      <c r="L13" s="1"/>
      <c r="M13" s="21" t="str">
        <f t="shared" si="0"/>
        <v>Orn(Boc)</v>
      </c>
      <c r="N13" s="48">
        <f>IF('Mass Ion Calculations'!$Y13=TRUE,(IF(A13="","",'1st Deletion Fragment'!C13-'Mass Ion Calculations'!$D$5)),"-")</f>
        <v>509.85384999999997</v>
      </c>
      <c r="O13" s="48">
        <f>IF('Mass Ion Calculations'!$Y13=TRUE,(IF(B13="","",'1st Deletion Fragment'!D13-'Mass Ion Calculations'!$D$5)),"-")</f>
        <v>531.83582999999999</v>
      </c>
      <c r="P13" s="48">
        <f>IF('Mass Ion Calculations'!$Y13=TRUE,(IF(C13="","",'1st Deletion Fragment'!E13-'Mass Ion Calculations'!$D$5)),"-")</f>
        <v>-368.069165</v>
      </c>
      <c r="Q13" s="48">
        <f>IF('Mass Ion Calculations'!$Y13=TRUE,(IF(D13="","",'1st Deletion Fragment'!F13-'Mass Ion Calculations'!$D$5)),"-")</f>
        <v>-346.08718500000009</v>
      </c>
      <c r="R13" s="48">
        <f>IF('Mass Ion Calculations'!$Y13=TRUE,(IF(E13="","",'1st Deletion Fragment'!G13-'Mass Ion Calculations'!$D$5)),"-")</f>
        <v>-357.07817499999999</v>
      </c>
      <c r="S13" s="48">
        <f>IF('Mass Ion Calculations'!$Y13=TRUE,(IF(F13="","",'1st Deletion Fragment'!H13-'Mass Ion Calculations'!$D$5)),"-")</f>
        <v>-660.71016999999995</v>
      </c>
      <c r="T13" s="48">
        <f>IF('Mass Ion Calculations'!$Y13=TRUE,(IF(G13="","",'1st Deletion Fragment'!I13-'Mass Ion Calculations'!$D$5)),"-")</f>
        <v>-653.38284333333331</v>
      </c>
      <c r="U13" s="48">
        <f>IF('Mass Ion Calculations'!$Y13=TRUE,(IF(H13="","",'1st Deletion Fragment'!J13-'Mass Ion Calculations'!$D$5)),"-")</f>
        <v>-646.05551666666668</v>
      </c>
      <c r="V13" s="48">
        <f>IF('Mass Ion Calculations'!$Y13=TRUE,(IF(I13="","",'1st Deletion Fragment'!K13-'Mass Ion Calculations'!$D$5)),"-")</f>
        <v>-638.72819000000004</v>
      </c>
      <c r="W13" s="2"/>
      <c r="X13">
        <f t="shared" si="10"/>
        <v>-2.2142951950822553E+24</v>
      </c>
      <c r="Y13" s="3">
        <f t="shared" si="11"/>
        <v>509</v>
      </c>
      <c r="Z13" s="3">
        <f t="shared" si="12"/>
        <v>531</v>
      </c>
      <c r="AA13" s="3">
        <f t="shared" si="13"/>
        <v>-369</v>
      </c>
      <c r="AB13" s="3">
        <f t="shared" si="14"/>
        <v>-347</v>
      </c>
      <c r="AC13" s="3">
        <f t="shared" si="15"/>
        <v>-358</v>
      </c>
      <c r="AD13" s="3">
        <f t="shared" si="16"/>
        <v>-661</v>
      </c>
      <c r="AE13" s="3">
        <f t="shared" si="17"/>
        <v>-654</v>
      </c>
      <c r="AF13" s="3">
        <f t="shared" si="18"/>
        <v>-647</v>
      </c>
      <c r="AG13" s="3">
        <f t="shared" si="19"/>
        <v>-639</v>
      </c>
      <c r="AH13" t="str">
        <f t="shared" si="20"/>
        <v>Orn(Boc)</v>
      </c>
    </row>
    <row r="14" spans="1:34" x14ac:dyDescent="0.25">
      <c r="A14" s="19" t="str">
        <f>IF('Mass Ion Calculations'!B14="","",'Mass Ion Calculations'!B14)</f>
        <v>Glu(OtBu)</v>
      </c>
      <c r="B14">
        <f>IF(A14="","",IF('Mass Ion Calculations'!$D$6="Yes",IF('Mass Ion Calculations'!$D$7="Yes",'Mass Ion Calculations'!$D$18-'Mass Ion Calculations'!C14,'Mass Ion Calculations'!$F$18-'Mass Ion Calculations'!E14),IF('Mass Ion Calculations'!$D$7="Yes", 'Mass Ion Calculations'!$D$15-'Mass Ion Calculations'!C14,'Mass Ion Calculations'!$F$15-'Mass Ion Calculations'!E14)))</f>
        <v>1740.88276</v>
      </c>
      <c r="C14">
        <f>IF(A14="","",B14+'AA Exact Masses'!Q$2)</f>
        <v>1741.89058</v>
      </c>
      <c r="D14">
        <f>IF(A14="","",B14+'AA Exact Masses'!Q$3)</f>
        <v>1763.87256</v>
      </c>
      <c r="E14">
        <f>IF(A14="","",(B14+2*'AA Exact Masses'!Q$2)/2)</f>
        <v>871.44920000000002</v>
      </c>
      <c r="F14">
        <f>IF(A14="","",(B14+2*'AA Exact Masses'!Q$3)/2)</f>
        <v>893.43117999999993</v>
      </c>
      <c r="G14">
        <f>IF(A14="","",(B14+'AA Exact Masses'!Q$2+'AA Exact Masses'!Q$3)/2)</f>
        <v>882.44019000000003</v>
      </c>
      <c r="H14">
        <f>IF($A14="","",($B14+3*'AA Exact Masses'!$Q$2)/3)</f>
        <v>581.30207333333328</v>
      </c>
      <c r="I14">
        <f>IF($A14="","",($B14+2*'AA Exact Masses'!$Q$2+'AA Exact Masses'!$Q$3)/3)</f>
        <v>588.62940000000003</v>
      </c>
      <c r="J14">
        <f>IF($A14="","",($B14+'AA Exact Masses'!$Q$2+2*'AA Exact Masses'!$Q$3)/3)</f>
        <v>595.95672666666667</v>
      </c>
      <c r="K14">
        <f>IF($A14="","",($B14+3*'AA Exact Masses'!$Q$3)/3)</f>
        <v>603.2840533333333</v>
      </c>
      <c r="L14" s="1"/>
      <c r="M14" s="21" t="str">
        <f t="shared" si="0"/>
        <v>Glu(OtBu)</v>
      </c>
      <c r="N14" s="48">
        <f>IF('Mass Ion Calculations'!$Y14=TRUE,(IF(A14="","",'1st Deletion Fragment'!C14-'Mass Ion Calculations'!$D$5)),"-")</f>
        <v>494.89058</v>
      </c>
      <c r="O14" s="48">
        <f>IF('Mass Ion Calculations'!$Y14=TRUE,(IF(B14="","",'1st Deletion Fragment'!D14-'Mass Ion Calculations'!$D$5)),"-")</f>
        <v>516.87256000000002</v>
      </c>
      <c r="P14" s="48">
        <f>IF('Mass Ion Calculations'!$Y14=TRUE,(IF(C14="","",'1st Deletion Fragment'!E14-'Mass Ion Calculations'!$D$5)),"-")</f>
        <v>-375.55079999999998</v>
      </c>
      <c r="Q14" s="48">
        <f>IF('Mass Ion Calculations'!$Y14=TRUE,(IF(D14="","",'1st Deletion Fragment'!F14-'Mass Ion Calculations'!$D$5)),"-")</f>
        <v>-353.56882000000007</v>
      </c>
      <c r="R14" s="48">
        <f>IF('Mass Ion Calculations'!$Y14=TRUE,(IF(E14="","",'1st Deletion Fragment'!G14-'Mass Ion Calculations'!$D$5)),"-")</f>
        <v>-364.55980999999997</v>
      </c>
      <c r="S14" s="48">
        <f>IF('Mass Ion Calculations'!$Y14=TRUE,(IF(F14="","",'1st Deletion Fragment'!H14-'Mass Ion Calculations'!$D$5)),"-")</f>
        <v>-665.69792666666672</v>
      </c>
      <c r="T14" s="48">
        <f>IF('Mass Ion Calculations'!$Y14=TRUE,(IF(G14="","",'1st Deletion Fragment'!I14-'Mass Ion Calculations'!$D$5)),"-")</f>
        <v>-658.37059999999997</v>
      </c>
      <c r="U14" s="48">
        <f>IF('Mass Ion Calculations'!$Y14=TRUE,(IF(H14="","",'1st Deletion Fragment'!J14-'Mass Ion Calculations'!$D$5)),"-")</f>
        <v>-651.04327333333333</v>
      </c>
      <c r="V14" s="48">
        <f>IF('Mass Ion Calculations'!$Y14=TRUE,(IF(I14="","",'1st Deletion Fragment'!K14-'Mass Ion Calculations'!$D$5)),"-")</f>
        <v>-643.7159466666667</v>
      </c>
      <c r="W14" s="2"/>
      <c r="X14">
        <f t="shared" si="10"/>
        <v>-2.2822001460014904E+24</v>
      </c>
      <c r="Y14" s="3">
        <f t="shared" si="11"/>
        <v>494</v>
      </c>
      <c r="Z14" s="3">
        <f t="shared" si="12"/>
        <v>516</v>
      </c>
      <c r="AA14" s="3">
        <f t="shared" si="13"/>
        <v>-376</v>
      </c>
      <c r="AB14" s="3">
        <f t="shared" si="14"/>
        <v>-354</v>
      </c>
      <c r="AC14" s="3">
        <f t="shared" si="15"/>
        <v>-365</v>
      </c>
      <c r="AD14" s="3">
        <f t="shared" si="16"/>
        <v>-666</v>
      </c>
      <c r="AE14" s="3">
        <f t="shared" si="17"/>
        <v>-659</v>
      </c>
      <c r="AF14" s="3">
        <f t="shared" si="18"/>
        <v>-652</v>
      </c>
      <c r="AG14" s="3">
        <f t="shared" si="19"/>
        <v>-644</v>
      </c>
      <c r="AH14" t="str">
        <f t="shared" si="20"/>
        <v>Glu(OtBu)</v>
      </c>
    </row>
    <row r="15" spans="1:34" x14ac:dyDescent="0.25">
      <c r="A15" s="4" t="str">
        <f>IF('Mass Ion Calculations'!B15="","",'Mass Ion Calculations'!B15)</f>
        <v>Asp(tBu)</v>
      </c>
      <c r="B15">
        <f>IF(A15="","",IF('Mass Ion Calculations'!$D$6="Yes",IF('Mass Ion Calculations'!$D$7="Yes",'Mass Ion Calculations'!$D$18-'Mass Ion Calculations'!C15,'Mass Ion Calculations'!$F$18-'Mass Ion Calculations'!E15),IF('Mass Ion Calculations'!$D$7="Yes", 'Mass Ion Calculations'!$D$15-'Mass Ion Calculations'!C15,'Mass Ion Calculations'!$F$15-'Mass Ion Calculations'!E15)))</f>
        <v>1754.89841</v>
      </c>
      <c r="C15">
        <f>IF(A15="","",B15+'AA Exact Masses'!Q$2)</f>
        <v>1755.9062300000001</v>
      </c>
      <c r="D15">
        <f>IF(A15="","",B15+'AA Exact Masses'!Q$3)</f>
        <v>1777.8882100000001</v>
      </c>
      <c r="E15">
        <f>IF(A15="","",(B15+2*'AA Exact Masses'!Q$2)/2)</f>
        <v>878.45702500000004</v>
      </c>
      <c r="F15">
        <f>IF(A15="","",(B15+2*'AA Exact Masses'!Q$3)/2)</f>
        <v>900.43900499999995</v>
      </c>
      <c r="G15">
        <f>IF(A15="","",(B15+'AA Exact Masses'!Q$2+'AA Exact Masses'!Q$3)/2)</f>
        <v>889.44801500000005</v>
      </c>
      <c r="H15">
        <f>IF($A15="","",($B15+3*'AA Exact Masses'!$Q$2)/3)</f>
        <v>585.97395666666671</v>
      </c>
      <c r="I15">
        <f>IF($A15="","",($B15+2*'AA Exact Masses'!$Q$2+'AA Exact Masses'!$Q$3)/3)</f>
        <v>593.30128333333334</v>
      </c>
      <c r="J15">
        <f>IF($A15="","",($B15+'AA Exact Masses'!$Q$2+2*'AA Exact Masses'!$Q$3)/3)</f>
        <v>600.62860999999998</v>
      </c>
      <c r="K15">
        <f>IF($A15="","",($B15+3*'AA Exact Masses'!$Q$3)/3)</f>
        <v>607.95593666666662</v>
      </c>
      <c r="L15" s="1"/>
      <c r="M15" s="8" t="str">
        <f t="shared" si="0"/>
        <v>Asp(tBu)</v>
      </c>
      <c r="N15" s="48">
        <f>IF('Mass Ion Calculations'!$Y15=TRUE,(IF(A15="","",'1st Deletion Fragment'!C15-'Mass Ion Calculations'!$D$5)),"-")</f>
        <v>508.90623000000005</v>
      </c>
      <c r="O15" s="48">
        <f>IF('Mass Ion Calculations'!$Y15=TRUE,(IF(B15="","",'1st Deletion Fragment'!D15-'Mass Ion Calculations'!$D$5)),"-")</f>
        <v>530.88821000000007</v>
      </c>
      <c r="P15" s="48">
        <f>IF('Mass Ion Calculations'!$Y15=TRUE,(IF(C15="","",'1st Deletion Fragment'!E15-'Mass Ion Calculations'!$D$5)),"-")</f>
        <v>-368.54297499999996</v>
      </c>
      <c r="Q15" s="48">
        <f>IF('Mass Ion Calculations'!$Y15=TRUE,(IF(D15="","",'1st Deletion Fragment'!F15-'Mass Ion Calculations'!$D$5)),"-")</f>
        <v>-346.56099500000005</v>
      </c>
      <c r="R15" s="48">
        <f>IF('Mass Ion Calculations'!$Y15=TRUE,(IF(E15="","",'1st Deletion Fragment'!G15-'Mass Ion Calculations'!$D$5)),"-")</f>
        <v>-357.55198499999995</v>
      </c>
      <c r="S15" s="48">
        <f>IF('Mass Ion Calculations'!$Y15=TRUE,(IF(F15="","",'1st Deletion Fragment'!H15-'Mass Ion Calculations'!$D$5)),"-")</f>
        <v>-661.02604333333329</v>
      </c>
      <c r="T15" s="48">
        <f>IF('Mass Ion Calculations'!$Y15=TRUE,(IF(G15="","",'1st Deletion Fragment'!I15-'Mass Ion Calculations'!$D$5)),"-")</f>
        <v>-653.69871666666666</v>
      </c>
      <c r="U15" s="48">
        <f>IF('Mass Ion Calculations'!$Y15=TRUE,(IF(H15="","",'1st Deletion Fragment'!J15-'Mass Ion Calculations'!$D$5)),"-")</f>
        <v>-646.37139000000002</v>
      </c>
      <c r="V15" s="48">
        <f>IF('Mass Ion Calculations'!$Y15=TRUE,(IF(I15="","",'1st Deletion Fragment'!K15-'Mass Ion Calculations'!$D$5)),"-")</f>
        <v>-639.04406333333338</v>
      </c>
      <c r="W15" s="2"/>
      <c r="X15">
        <f t="shared" si="10"/>
        <v>-2.2125772463709378E+24</v>
      </c>
      <c r="Y15" s="3">
        <f t="shared" si="11"/>
        <v>508</v>
      </c>
      <c r="Z15" s="3">
        <f t="shared" si="12"/>
        <v>530</v>
      </c>
      <c r="AA15" s="3">
        <f t="shared" si="13"/>
        <v>-369</v>
      </c>
      <c r="AB15" s="3">
        <f t="shared" si="14"/>
        <v>-347</v>
      </c>
      <c r="AC15" s="3">
        <f t="shared" si="15"/>
        <v>-358</v>
      </c>
      <c r="AD15" s="3">
        <f t="shared" si="16"/>
        <v>-662</v>
      </c>
      <c r="AE15" s="3">
        <f t="shared" si="17"/>
        <v>-654</v>
      </c>
      <c r="AF15" s="3">
        <f t="shared" si="18"/>
        <v>-647</v>
      </c>
      <c r="AG15" s="3">
        <f t="shared" si="19"/>
        <v>-640</v>
      </c>
      <c r="AH15" t="str">
        <f t="shared" si="20"/>
        <v>Asp(tBu)</v>
      </c>
    </row>
    <row r="16" spans="1:34" x14ac:dyDescent="0.25">
      <c r="A16" s="4" t="str">
        <f>IF('Mass Ion Calculations'!B16="","",'Mass Ion Calculations'!B16)</f>
        <v>Ala</v>
      </c>
      <c r="B16">
        <f>IF(A16="","",IF('Mass Ion Calculations'!$D$6="Yes",IF('Mass Ion Calculations'!$D$7="Yes",'Mass Ion Calculations'!$D$18-'Mass Ion Calculations'!C16,'Mass Ion Calculations'!$F$18-'Mass Ion Calculations'!E16),IF('Mass Ion Calculations'!$D$7="Yes", 'Mass Ion Calculations'!$D$15-'Mass Ion Calculations'!C16,'Mass Ion Calculations'!$F$15-'Mass Ion Calculations'!E16)))</f>
        <v>1798.88824</v>
      </c>
      <c r="C16">
        <f>IF(A16="","",B16+'AA Exact Masses'!Q$2)</f>
        <v>1799.89606</v>
      </c>
      <c r="D16">
        <f>IF(A16="","",B16+'AA Exact Masses'!Q$3)</f>
        <v>1821.8780400000001</v>
      </c>
      <c r="E16">
        <f>IF(A16="","",(B16+2*'AA Exact Masses'!Q$2)/2)</f>
        <v>900.45194000000004</v>
      </c>
      <c r="F16">
        <f>IF(A16="","",(B16+2*'AA Exact Masses'!Q$3)/2)</f>
        <v>922.43391999999994</v>
      </c>
      <c r="G16">
        <f>IF(A16="","",(B16+'AA Exact Masses'!Q$2+'AA Exact Masses'!Q$3)/2)</f>
        <v>911.44293000000005</v>
      </c>
      <c r="H16">
        <f>IF($A16="","",($B16+3*'AA Exact Masses'!$Q$2)/3)</f>
        <v>600.63723333333337</v>
      </c>
      <c r="I16">
        <f>IF($A16="","",($B16+2*'AA Exact Masses'!$Q$2+'AA Exact Masses'!$Q$3)/3)</f>
        <v>607.96456000000001</v>
      </c>
      <c r="J16">
        <f>IF($A16="","",($B16+'AA Exact Masses'!$Q$2+2*'AA Exact Masses'!$Q$3)/3)</f>
        <v>615.29188666666664</v>
      </c>
      <c r="K16">
        <f>IF($A16="","",($B16+3*'AA Exact Masses'!$Q$3)/3)</f>
        <v>622.61921333333328</v>
      </c>
      <c r="L16" s="1"/>
      <c r="M16" s="8" t="str">
        <f t="shared" si="0"/>
        <v>Ala</v>
      </c>
      <c r="N16" s="48">
        <f>IF('Mass Ion Calculations'!$Y16=TRUE,(IF(A16="","",'1st Deletion Fragment'!C16-'Mass Ion Calculations'!$D$5)),"-")</f>
        <v>552.89606000000003</v>
      </c>
      <c r="O16" s="48">
        <f>IF('Mass Ion Calculations'!$Y16=TRUE,(IF(B16="","",'1st Deletion Fragment'!D16-'Mass Ion Calculations'!$D$5)),"-")</f>
        <v>574.87804000000006</v>
      </c>
      <c r="P16" s="48">
        <f>IF('Mass Ion Calculations'!$Y16=TRUE,(IF(C16="","",'1st Deletion Fragment'!E16-'Mass Ion Calculations'!$D$5)),"-")</f>
        <v>-346.54805999999996</v>
      </c>
      <c r="Q16" s="48">
        <f>IF('Mass Ion Calculations'!$Y16=TRUE,(IF(D16="","",'1st Deletion Fragment'!F16-'Mass Ion Calculations'!$D$5)),"-")</f>
        <v>-324.56608000000006</v>
      </c>
      <c r="R16" s="48">
        <f>IF('Mass Ion Calculations'!$Y16=TRUE,(IF(E16="","",'1st Deletion Fragment'!G16-'Mass Ion Calculations'!$D$5)),"-")</f>
        <v>-335.55706999999995</v>
      </c>
      <c r="S16" s="48">
        <f>IF('Mass Ion Calculations'!$Y16=TRUE,(IF(F16="","",'1st Deletion Fragment'!H16-'Mass Ion Calculations'!$D$5)),"-")</f>
        <v>-646.36276666666663</v>
      </c>
      <c r="T16" s="48">
        <f>IF('Mass Ion Calculations'!$Y16=TRUE,(IF(G16="","",'1st Deletion Fragment'!I16-'Mass Ion Calculations'!$D$5)),"-")</f>
        <v>-639.03543999999999</v>
      </c>
      <c r="U16" s="48">
        <f>IF('Mass Ion Calculations'!$Y16=TRUE,(IF(H16="","",'1st Deletion Fragment'!J16-'Mass Ion Calculations'!$D$5)),"-")</f>
        <v>-631.70811333333336</v>
      </c>
      <c r="V16" s="48">
        <f>IF('Mass Ion Calculations'!$Y16=TRUE,(IF(I16="","",'1st Deletion Fragment'!K16-'Mass Ion Calculations'!$D$5)),"-")</f>
        <v>-624.38078666666672</v>
      </c>
      <c r="W16" s="2"/>
      <c r="X16">
        <f t="shared" si="10"/>
        <v>-1.9637420215543602E+24</v>
      </c>
      <c r="Y16" s="3">
        <f t="shared" si="11"/>
        <v>552</v>
      </c>
      <c r="Z16" s="3">
        <f t="shared" si="12"/>
        <v>574</v>
      </c>
      <c r="AA16" s="3">
        <f t="shared" si="13"/>
        <v>-347</v>
      </c>
      <c r="AB16" s="3">
        <f t="shared" si="14"/>
        <v>-325</v>
      </c>
      <c r="AC16" s="3">
        <f t="shared" si="15"/>
        <v>-336</v>
      </c>
      <c r="AD16" s="3">
        <f t="shared" si="16"/>
        <v>-647</v>
      </c>
      <c r="AE16" s="3">
        <f t="shared" si="17"/>
        <v>-640</v>
      </c>
      <c r="AF16" s="3">
        <f t="shared" si="18"/>
        <v>-632</v>
      </c>
      <c r="AG16" s="3">
        <f t="shared" si="19"/>
        <v>-625</v>
      </c>
      <c r="AH16" t="str">
        <f t="shared" si="20"/>
        <v>Ala</v>
      </c>
    </row>
    <row r="17" spans="1:34" x14ac:dyDescent="0.25">
      <c r="A17" s="4" t="str">
        <f>IF('Mass Ion Calculations'!B17="","",'Mass Ion Calculations'!B17)</f>
        <v>Phe</v>
      </c>
      <c r="B17">
        <f>IF(A17="","",IF('Mass Ion Calculations'!$D$6="Yes",IF('Mass Ion Calculations'!$D$7="Yes",'Mass Ion Calculations'!$D$18-'Mass Ion Calculations'!C17,'Mass Ion Calculations'!$F$18-'Mass Ion Calculations'!E17),IF('Mass Ion Calculations'!$D$7="Yes", 'Mass Ion Calculations'!$D$15-'Mass Ion Calculations'!C17,'Mass Ion Calculations'!$F$15-'Mass Ion Calculations'!E17)))</f>
        <v>1722.8569399999999</v>
      </c>
      <c r="C17">
        <f>IF(A17="","",B17+'AA Exact Masses'!Q$2)</f>
        <v>1723.8647599999999</v>
      </c>
      <c r="D17">
        <f>IF(A17="","",B17+'AA Exact Masses'!Q$3)</f>
        <v>1745.84674</v>
      </c>
      <c r="E17">
        <f>IF(A17="","",(B17+2*'AA Exact Masses'!Q$2)/2)</f>
        <v>862.43628999999999</v>
      </c>
      <c r="F17">
        <f>IF(A17="","",(B17+2*'AA Exact Masses'!Q$3)/2)</f>
        <v>884.41826999999989</v>
      </c>
      <c r="G17">
        <f>IF(A17="","",(B17+'AA Exact Masses'!Q$2+'AA Exact Masses'!Q$3)/2)</f>
        <v>873.42728</v>
      </c>
      <c r="H17">
        <f>IF($A17="","",($B17+3*'AA Exact Masses'!$Q$2)/3)</f>
        <v>575.29346666666663</v>
      </c>
      <c r="I17">
        <f>IF($A17="","",($B17+2*'AA Exact Masses'!$Q$2+'AA Exact Masses'!$Q$3)/3)</f>
        <v>582.62079333333338</v>
      </c>
      <c r="J17">
        <f>IF($A17="","",($B17+'AA Exact Masses'!$Q$2+2*'AA Exact Masses'!$Q$3)/3)</f>
        <v>589.9481199999999</v>
      </c>
      <c r="K17">
        <f>IF($A17="","",($B17+3*'AA Exact Masses'!$Q$3)/3)</f>
        <v>597.27544666666665</v>
      </c>
      <c r="L17" s="1"/>
      <c r="M17" s="8" t="str">
        <f t="shared" si="0"/>
        <v>Phe</v>
      </c>
      <c r="N17" s="48">
        <f>IF('Mass Ion Calculations'!$Y17=TRUE,(IF(A17="","",'1st Deletion Fragment'!C17-'Mass Ion Calculations'!$D$5)),"-")</f>
        <v>476.86475999999993</v>
      </c>
      <c r="O17" s="48">
        <f>IF('Mass Ion Calculations'!$Y17=TRUE,(IF(B17="","",'1st Deletion Fragment'!D17-'Mass Ion Calculations'!$D$5)),"-")</f>
        <v>498.84673999999995</v>
      </c>
      <c r="P17" s="48">
        <f>IF('Mass Ion Calculations'!$Y17=TRUE,(IF(C17="","",'1st Deletion Fragment'!E17-'Mass Ion Calculations'!$D$5)),"-")</f>
        <v>-384.56371000000001</v>
      </c>
      <c r="Q17" s="48">
        <f>IF('Mass Ion Calculations'!$Y17=TRUE,(IF(D17="","",'1st Deletion Fragment'!F17-'Mass Ion Calculations'!$D$5)),"-")</f>
        <v>-362.58173000000011</v>
      </c>
      <c r="R17" s="48">
        <f>IF('Mass Ion Calculations'!$Y17=TRUE,(IF(E17="","",'1st Deletion Fragment'!G17-'Mass Ion Calculations'!$D$5)),"-")</f>
        <v>-373.57272</v>
      </c>
      <c r="S17" s="48">
        <f>IF('Mass Ion Calculations'!$Y17=TRUE,(IF(F17="","",'1st Deletion Fragment'!H17-'Mass Ion Calculations'!$D$5)),"-")</f>
        <v>-671.70653333333337</v>
      </c>
      <c r="T17" s="48">
        <f>IF('Mass Ion Calculations'!$Y17=TRUE,(IF(G17="","",'1st Deletion Fragment'!I17-'Mass Ion Calculations'!$D$5)),"-")</f>
        <v>-664.37920666666662</v>
      </c>
      <c r="U17" s="48">
        <f>IF('Mass Ion Calculations'!$Y17=TRUE,(IF(H17="","",'1st Deletion Fragment'!J17-'Mass Ion Calculations'!$D$5)),"-")</f>
        <v>-657.0518800000001</v>
      </c>
      <c r="V17" s="48">
        <f>IF('Mass Ion Calculations'!$Y17=TRUE,(IF(I17="","",'1st Deletion Fragment'!K17-'Mass Ion Calculations'!$D$5)),"-")</f>
        <v>-649.72455333333335</v>
      </c>
      <c r="W17" s="2"/>
      <c r="X17">
        <f>Y17:Y41*Z17:Z26*AA17:AA26*AB17:AB26*AC17:AC26*AD17:AD26*AE17:AE26*AF17:AF26*AG17:AG26</f>
        <v>-2.3681293525453303E+24</v>
      </c>
      <c r="Y17" s="3">
        <f t="shared" si="11"/>
        <v>476</v>
      </c>
      <c r="Z17" s="3">
        <f t="shared" si="12"/>
        <v>498</v>
      </c>
      <c r="AA17" s="3">
        <f t="shared" si="13"/>
        <v>-385</v>
      </c>
      <c r="AB17" s="3">
        <f t="shared" si="14"/>
        <v>-363</v>
      </c>
      <c r="AC17" s="3">
        <f t="shared" si="15"/>
        <v>-374</v>
      </c>
      <c r="AD17" s="3">
        <f t="shared" si="16"/>
        <v>-672</v>
      </c>
      <c r="AE17" s="3">
        <f t="shared" si="17"/>
        <v>-665</v>
      </c>
      <c r="AF17" s="3">
        <f t="shared" si="18"/>
        <v>-658</v>
      </c>
      <c r="AG17" s="3">
        <f t="shared" si="19"/>
        <v>-650</v>
      </c>
      <c r="AH17" t="str">
        <f t="shared" si="20"/>
        <v>Phe</v>
      </c>
    </row>
    <row r="18" spans="1:34" x14ac:dyDescent="0.25">
      <c r="A18" s="4" t="str">
        <f>IF('Mass Ion Calculations'!B18="","",'Mass Ion Calculations'!B18)</f>
        <v>Phe-I</v>
      </c>
      <c r="B18">
        <f>IF(A18="","",IF('Mass Ion Calculations'!$D$6="Yes",IF('Mass Ion Calculations'!$D$7="Yes",'Mass Ion Calculations'!$D$18-'Mass Ion Calculations'!C18,'Mass Ion Calculations'!$F$18-'Mass Ion Calculations'!E18),IF('Mass Ion Calculations'!$D$7="Yes", 'Mass Ion Calculations'!$D$15-'Mass Ion Calculations'!C18,'Mass Ion Calculations'!$F$15-'Mass Ion Calculations'!E18)))</f>
        <v>1596.96029</v>
      </c>
      <c r="C18">
        <f>IF(A18="","",B18+'AA Exact Masses'!Q$2)</f>
        <v>1597.96811</v>
      </c>
      <c r="D18">
        <f>IF(A18="","",B18+'AA Exact Masses'!Q$3)</f>
        <v>1619.95009</v>
      </c>
      <c r="E18">
        <f>IF(A18="","",(B18+2*'AA Exact Masses'!Q$2)/2)</f>
        <v>799.48796500000003</v>
      </c>
      <c r="F18">
        <f>IF(A18="","",(B18+2*'AA Exact Masses'!Q$3)/2)</f>
        <v>821.46994499999994</v>
      </c>
      <c r="G18">
        <f>IF(A18="","",(B18+'AA Exact Masses'!Q$2+'AA Exact Masses'!Q$3)/2)</f>
        <v>810.47895500000004</v>
      </c>
      <c r="H18">
        <f>IF($A18="","",($B18+3*'AA Exact Masses'!$Q$2)/3)</f>
        <v>533.32791666666662</v>
      </c>
      <c r="I18">
        <f>IF($A18="","",($B18+2*'AA Exact Masses'!$Q$2+'AA Exact Masses'!$Q$3)/3)</f>
        <v>540.65524333333337</v>
      </c>
      <c r="J18">
        <f>IF($A18="","",($B18+'AA Exact Masses'!$Q$2+2*'AA Exact Masses'!$Q$3)/3)</f>
        <v>547.98257000000001</v>
      </c>
      <c r="K18">
        <f>IF($A18="","",($B18+3*'AA Exact Masses'!$Q$3)/3)</f>
        <v>555.30989666666665</v>
      </c>
      <c r="L18" s="1"/>
      <c r="M18" s="8" t="str">
        <f t="shared" si="0"/>
        <v>Phe-I</v>
      </c>
      <c r="N18" s="48">
        <f>IF('Mass Ion Calculations'!$Y18=TRUE,(IF(A18="","",'1st Deletion Fragment'!C18-'Mass Ion Calculations'!$D$5)),"-")</f>
        <v>350.96811000000002</v>
      </c>
      <c r="O18" s="48">
        <f>IF('Mass Ion Calculations'!$Y18=TRUE,(IF(B18="","",'1st Deletion Fragment'!D18-'Mass Ion Calculations'!$D$5)),"-")</f>
        <v>372.95009000000005</v>
      </c>
      <c r="P18" s="48">
        <f>IF('Mass Ion Calculations'!$Y18=TRUE,(IF(C18="","",'1st Deletion Fragment'!E18-'Mass Ion Calculations'!$D$5)),"-")</f>
        <v>-447.51203499999997</v>
      </c>
      <c r="Q18" s="48">
        <f>IF('Mass Ion Calculations'!$Y18=TRUE,(IF(D18="","",'1st Deletion Fragment'!F18-'Mass Ion Calculations'!$D$5)),"-")</f>
        <v>-425.53005500000006</v>
      </c>
      <c r="R18" s="48">
        <f>IF('Mass Ion Calculations'!$Y18=TRUE,(IF(E18="","",'1st Deletion Fragment'!G18-'Mass Ion Calculations'!$D$5)),"-")</f>
        <v>-436.52104499999996</v>
      </c>
      <c r="S18" s="48">
        <f>IF('Mass Ion Calculations'!$Y18=TRUE,(IF(F18="","",'1st Deletion Fragment'!H18-'Mass Ion Calculations'!$D$5)),"-")</f>
        <v>-713.67208333333338</v>
      </c>
      <c r="T18" s="48">
        <f>IF('Mass Ion Calculations'!$Y18=TRUE,(IF(G18="","",'1st Deletion Fragment'!I18-'Mass Ion Calculations'!$D$5)),"-")</f>
        <v>-706.34475666666663</v>
      </c>
      <c r="U18" s="48">
        <f>IF('Mass Ion Calculations'!$Y18=TRUE,(IF(H18="","",'1st Deletion Fragment'!J18-'Mass Ion Calculations'!$D$5)),"-")</f>
        <v>-699.01742999999999</v>
      </c>
      <c r="V18" s="48">
        <f>IF('Mass Ion Calculations'!$Y18=TRUE,(IF(I18="","",'1st Deletion Fragment'!K18-'Mass Ion Calculations'!$D$5)),"-")</f>
        <v>-691.69010333333335</v>
      </c>
      <c r="W18" s="2"/>
      <c r="X18">
        <f t="shared" si="10"/>
        <v>-2.6552278482900397E+24</v>
      </c>
      <c r="Y18" s="3">
        <f t="shared" si="11"/>
        <v>350</v>
      </c>
      <c r="Z18" s="3">
        <f t="shared" si="12"/>
        <v>372</v>
      </c>
      <c r="AA18" s="3">
        <f t="shared" si="13"/>
        <v>-448</v>
      </c>
      <c r="AB18" s="3">
        <f t="shared" si="14"/>
        <v>-426</v>
      </c>
      <c r="AC18" s="3">
        <f t="shared" si="15"/>
        <v>-437</v>
      </c>
      <c r="AD18" s="3">
        <f t="shared" si="16"/>
        <v>-714</v>
      </c>
      <c r="AE18" s="3">
        <f t="shared" si="17"/>
        <v>-707</v>
      </c>
      <c r="AF18" s="3">
        <f t="shared" si="18"/>
        <v>-700</v>
      </c>
      <c r="AG18" s="3">
        <f t="shared" si="19"/>
        <v>-692</v>
      </c>
      <c r="AH18" t="str">
        <f t="shared" si="20"/>
        <v>Phe-I</v>
      </c>
    </row>
    <row r="19" spans="1:34" x14ac:dyDescent="0.25">
      <c r="A19" s="4" t="str">
        <f>IF('Mass Ion Calculations'!B19="","",'Mass Ion Calculations'!B19)</f>
        <v>Val</v>
      </c>
      <c r="B19">
        <f>IF(A19="","",IF('Mass Ion Calculations'!$D$6="Yes",IF('Mass Ion Calculations'!$D$7="Yes",'Mass Ion Calculations'!$D$18-'Mass Ion Calculations'!C19,'Mass Ion Calculations'!$F$18-'Mass Ion Calculations'!E19),IF('Mass Ion Calculations'!$D$7="Yes", 'Mass Ion Calculations'!$D$15-'Mass Ion Calculations'!C19,'Mass Ion Calculations'!$F$15-'Mass Ion Calculations'!E19)))</f>
        <v>1770.8569399999999</v>
      </c>
      <c r="C19">
        <f>IF(A19="","",B19+'AA Exact Masses'!Q$2)</f>
        <v>1771.8647599999999</v>
      </c>
      <c r="D19">
        <f>IF(A19="","",B19+'AA Exact Masses'!Q$3)</f>
        <v>1793.84674</v>
      </c>
      <c r="E19">
        <f>IF(A19="","",(B19+2*'AA Exact Masses'!Q$2)/2)</f>
        <v>886.43628999999999</v>
      </c>
      <c r="F19">
        <f>IF(A19="","",(B19+2*'AA Exact Masses'!Q$3)/2)</f>
        <v>908.41826999999989</v>
      </c>
      <c r="G19">
        <f>IF(A19="","",(B19+'AA Exact Masses'!Q$2+'AA Exact Masses'!Q$3)/2)</f>
        <v>897.42728</v>
      </c>
      <c r="H19">
        <f>IF($A19="","",($B19+3*'AA Exact Masses'!$Q$2)/3)</f>
        <v>591.29346666666663</v>
      </c>
      <c r="I19">
        <f>IF($A19="","",($B19+2*'AA Exact Masses'!$Q$2+'AA Exact Masses'!$Q$3)/3)</f>
        <v>598.62079333333338</v>
      </c>
      <c r="J19">
        <f>IF($A19="","",($B19+'AA Exact Masses'!$Q$2+2*'AA Exact Masses'!$Q$3)/3)</f>
        <v>605.9481199999999</v>
      </c>
      <c r="K19">
        <f>IF($A19="","",($B19+3*'AA Exact Masses'!$Q$3)/3)</f>
        <v>613.27544666666665</v>
      </c>
      <c r="L19" s="1"/>
      <c r="M19" s="8" t="str">
        <f t="shared" si="0"/>
        <v>Val</v>
      </c>
      <c r="N19" s="48">
        <f>IF('Mass Ion Calculations'!$Y19=TRUE,(IF(A19="","",'1st Deletion Fragment'!C19-'Mass Ion Calculations'!$D$5)),"-")</f>
        <v>524.86475999999993</v>
      </c>
      <c r="O19" s="48">
        <f>IF('Mass Ion Calculations'!$Y19=TRUE,(IF(B19="","",'1st Deletion Fragment'!D19-'Mass Ion Calculations'!$D$5)),"-")</f>
        <v>546.84673999999995</v>
      </c>
      <c r="P19" s="48">
        <f>IF('Mass Ion Calculations'!$Y19=TRUE,(IF(C19="","",'1st Deletion Fragment'!E19-'Mass Ion Calculations'!$D$5)),"-")</f>
        <v>-360.56371000000001</v>
      </c>
      <c r="Q19" s="48">
        <f>IF('Mass Ion Calculations'!$Y19=TRUE,(IF(D19="","",'1st Deletion Fragment'!F19-'Mass Ion Calculations'!$D$5)),"-")</f>
        <v>-338.58173000000011</v>
      </c>
      <c r="R19" s="48">
        <f>IF('Mass Ion Calculations'!$Y19=TRUE,(IF(E19="","",'1st Deletion Fragment'!G19-'Mass Ion Calculations'!$D$5)),"-")</f>
        <v>-349.57272</v>
      </c>
      <c r="S19" s="48">
        <f>IF('Mass Ion Calculations'!$Y19=TRUE,(IF(F19="","",'1st Deletion Fragment'!H19-'Mass Ion Calculations'!$D$5)),"-")</f>
        <v>-655.70653333333337</v>
      </c>
      <c r="T19" s="48">
        <f>IF('Mass Ion Calculations'!$Y19=TRUE,(IF(G19="","",'1st Deletion Fragment'!I19-'Mass Ion Calculations'!$D$5)),"-")</f>
        <v>-648.37920666666662</v>
      </c>
      <c r="U19" s="48">
        <f>IF('Mass Ion Calculations'!$Y19=TRUE,(IF(H19="","",'1st Deletion Fragment'!J19-'Mass Ion Calculations'!$D$5)),"-")</f>
        <v>-641.0518800000001</v>
      </c>
      <c r="V19" s="48">
        <f>IF('Mass Ion Calculations'!$Y19=TRUE,(IF(I19="","",'1st Deletion Fragment'!K19-'Mass Ion Calculations'!$D$5)),"-")</f>
        <v>-633.72455333333335</v>
      </c>
      <c r="W19" s="2"/>
      <c r="X19">
        <f t="shared" si="10"/>
        <v>-2.1235950105091863E+24</v>
      </c>
      <c r="Y19" s="3">
        <f t="shared" si="11"/>
        <v>524</v>
      </c>
      <c r="Z19" s="3">
        <f t="shared" si="12"/>
        <v>546</v>
      </c>
      <c r="AA19" s="3">
        <f t="shared" si="13"/>
        <v>-361</v>
      </c>
      <c r="AB19" s="3">
        <f t="shared" si="14"/>
        <v>-339</v>
      </c>
      <c r="AC19" s="3">
        <f t="shared" si="15"/>
        <v>-350</v>
      </c>
      <c r="AD19" s="3">
        <f t="shared" si="16"/>
        <v>-656</v>
      </c>
      <c r="AE19" s="3">
        <f t="shared" si="17"/>
        <v>-649</v>
      </c>
      <c r="AF19" s="3">
        <f t="shared" si="18"/>
        <v>-642</v>
      </c>
      <c r="AG19" s="3">
        <f t="shared" si="19"/>
        <v>-634</v>
      </c>
      <c r="AH19" t="str">
        <f t="shared" si="20"/>
        <v>Val</v>
      </c>
    </row>
    <row r="20" spans="1:34" x14ac:dyDescent="0.25">
      <c r="A20" s="4" t="str">
        <f>IF('Mass Ion Calculations'!B20="","",'Mass Ion Calculations'!B20)</f>
        <v>Leu</v>
      </c>
      <c r="B20">
        <f>IF(A20="","",IF('Mass Ion Calculations'!$D$6="Yes",IF('Mass Ion Calculations'!$D$7="Yes",'Mass Ion Calculations'!$D$18-'Mass Ion Calculations'!C20,'Mass Ion Calculations'!$F$18-'Mass Ion Calculations'!E20),IF('Mass Ion Calculations'!$D$7="Yes", 'Mass Ion Calculations'!$D$15-'Mass Ion Calculations'!C20,'Mass Ion Calculations'!$F$15-'Mass Ion Calculations'!E20)))</f>
        <v>1756.8412900000001</v>
      </c>
      <c r="C20">
        <f>IF(A20="","",B20+'AA Exact Masses'!Q$2)</f>
        <v>1757.8491100000001</v>
      </c>
      <c r="D20">
        <f>IF(A20="","",B20+'AA Exact Masses'!Q$3)</f>
        <v>1779.8310900000001</v>
      </c>
      <c r="E20">
        <f>IF(A20="","",(B20+2*'AA Exact Masses'!Q$2)/2)</f>
        <v>879.42846500000007</v>
      </c>
      <c r="F20">
        <f>IF(A20="","",(B20+2*'AA Exact Masses'!Q$3)/2)</f>
        <v>901.41044499999998</v>
      </c>
      <c r="G20">
        <f>IF(A20="","",(B20+'AA Exact Masses'!Q$2+'AA Exact Masses'!Q$3)/2)</f>
        <v>890.41945500000008</v>
      </c>
      <c r="H20">
        <f>IF($A20="","",($B20+3*'AA Exact Masses'!$Q$2)/3)</f>
        <v>586.62158333333343</v>
      </c>
      <c r="I20">
        <f>IF($A20="","",($B20+2*'AA Exact Masses'!$Q$2+'AA Exact Masses'!$Q$3)/3)</f>
        <v>593.94891000000007</v>
      </c>
      <c r="J20">
        <f>IF($A20="","",($B20+'AA Exact Masses'!$Q$2+2*'AA Exact Masses'!$Q$3)/3)</f>
        <v>601.2762366666667</v>
      </c>
      <c r="K20">
        <f>IF($A20="","",($B20+3*'AA Exact Masses'!$Q$3)/3)</f>
        <v>608.60356333333334</v>
      </c>
      <c r="L20" s="1"/>
      <c r="M20" s="8" t="str">
        <f t="shared" si="0"/>
        <v>Leu</v>
      </c>
      <c r="N20" s="48">
        <f>IF('Mass Ion Calculations'!$Y20=TRUE,(IF(A20="","",'1st Deletion Fragment'!C20-'Mass Ion Calculations'!$D$5)),"-")</f>
        <v>510.84911000000011</v>
      </c>
      <c r="O20" s="48">
        <f>IF('Mass Ion Calculations'!$Y20=TRUE,(IF(B20="","",'1st Deletion Fragment'!D20-'Mass Ion Calculations'!$D$5)),"-")</f>
        <v>532.83109000000013</v>
      </c>
      <c r="P20" s="48">
        <f>IF('Mass Ion Calculations'!$Y20=TRUE,(IF(C20="","",'1st Deletion Fragment'!E20-'Mass Ion Calculations'!$D$5)),"-")</f>
        <v>-367.57153499999993</v>
      </c>
      <c r="Q20" s="48">
        <f>IF('Mass Ion Calculations'!$Y20=TRUE,(IF(D20="","",'1st Deletion Fragment'!F20-'Mass Ion Calculations'!$D$5)),"-")</f>
        <v>-345.58955500000002</v>
      </c>
      <c r="R20" s="48">
        <f>IF('Mass Ion Calculations'!$Y20=TRUE,(IF(E20="","",'1st Deletion Fragment'!G20-'Mass Ion Calculations'!$D$5)),"-")</f>
        <v>-356.58054499999992</v>
      </c>
      <c r="S20" s="48">
        <f>IF('Mass Ion Calculations'!$Y20=TRUE,(IF(F20="","",'1st Deletion Fragment'!H20-'Mass Ion Calculations'!$D$5)),"-")</f>
        <v>-660.37841666666657</v>
      </c>
      <c r="T20" s="48">
        <f>IF('Mass Ion Calculations'!$Y20=TRUE,(IF(G20="","",'1st Deletion Fragment'!I20-'Mass Ion Calculations'!$D$5)),"-")</f>
        <v>-653.05108999999993</v>
      </c>
      <c r="U20" s="48">
        <f>IF('Mass Ion Calculations'!$Y20=TRUE,(IF(H20="","",'1st Deletion Fragment'!J20-'Mass Ion Calculations'!$D$5)),"-")</f>
        <v>-645.7237633333333</v>
      </c>
      <c r="V20" s="48">
        <f>IF('Mass Ion Calculations'!$Y20=TRUE,(IF(I20="","",'1st Deletion Fragment'!K20-'Mass Ion Calculations'!$D$5)),"-")</f>
        <v>-638.39643666666666</v>
      </c>
      <c r="W20" s="2"/>
      <c r="X20">
        <f t="shared" si="10"/>
        <v>-2.2008301446741031E+24</v>
      </c>
      <c r="Y20" s="3">
        <f t="shared" si="11"/>
        <v>510</v>
      </c>
      <c r="Z20" s="3">
        <f t="shared" si="12"/>
        <v>532</v>
      </c>
      <c r="AA20" s="3">
        <f t="shared" si="13"/>
        <v>-368</v>
      </c>
      <c r="AB20" s="3">
        <f t="shared" si="14"/>
        <v>-346</v>
      </c>
      <c r="AC20" s="3">
        <f t="shared" si="15"/>
        <v>-357</v>
      </c>
      <c r="AD20" s="3">
        <f t="shared" si="16"/>
        <v>-661</v>
      </c>
      <c r="AE20" s="3">
        <f t="shared" si="17"/>
        <v>-654</v>
      </c>
      <c r="AF20" s="3">
        <f t="shared" si="18"/>
        <v>-646</v>
      </c>
      <c r="AG20" s="3">
        <f t="shared" si="19"/>
        <v>-639</v>
      </c>
      <c r="AH20" t="str">
        <f t="shared" si="20"/>
        <v>Leu</v>
      </c>
    </row>
    <row r="21" spans="1:34" x14ac:dyDescent="0.25">
      <c r="A21" s="4" t="str">
        <f>IF('Mass Ion Calculations'!B21="","",'Mass Ion Calculations'!B21)</f>
        <v/>
      </c>
      <c r="B21" t="str">
        <f>IF(A21="","",IF('Mass Ion Calculations'!$D$6="Yes",IF('Mass Ion Calculations'!$D$7="Yes",'Mass Ion Calculations'!$D$18-'Mass Ion Calculations'!C21,'Mass Ion Calculations'!$F$18-'Mass Ion Calculations'!E21),IF('Mass Ion Calculations'!$D$7="Yes", 'Mass Ion Calculations'!$D$15-'Mass Ion Calculations'!C21,'Mass Ion Calculations'!$F$15-'Mass Ion Calculations'!E21)))</f>
        <v/>
      </c>
      <c r="C21" t="str">
        <f>IF(A21="","",B21+'AA Exact Masses'!Q$2)</f>
        <v/>
      </c>
      <c r="D21" t="str">
        <f>IF(A21="","",B21+'AA Exact Masses'!Q$3)</f>
        <v/>
      </c>
      <c r="E21" t="str">
        <f>IF(A21="","",(B21+2*'AA Exact Masses'!Q$2)/2)</f>
        <v/>
      </c>
      <c r="F21" t="str">
        <f>IF(A21="","",(B21+2*'AA Exact Masses'!Q$3)/2)</f>
        <v/>
      </c>
      <c r="G21" t="str">
        <f>IF(A21="","",(B21+'AA Exact Masses'!Q$2+'AA Exact Masses'!Q$3)/2)</f>
        <v/>
      </c>
      <c r="H21" t="str">
        <f>IF($A21="","",($B21+3*'AA Exact Masses'!$Q$2)/3)</f>
        <v/>
      </c>
      <c r="I21" t="str">
        <f>IF($A21="","",($B21+2*'AA Exact Masses'!$Q$2+'AA Exact Masses'!$Q$3)/3)</f>
        <v/>
      </c>
      <c r="J21" t="str">
        <f>IF($A21="","",($B21+'AA Exact Masses'!$Q$2+2*'AA Exact Masses'!$Q$3)/3)</f>
        <v/>
      </c>
      <c r="K21" t="str">
        <f>IF($A21="","",($B21+3*'AA Exact Masses'!$Q$3)/3)</f>
        <v/>
      </c>
      <c r="L21" s="1"/>
      <c r="M21" s="8" t="str">
        <f t="shared" si="0"/>
        <v/>
      </c>
      <c r="N21" s="48" t="str">
        <f>IF('Mass Ion Calculations'!$Y21=TRUE,(IF(A21="","",'1st Deletion Fragment'!C21-'Mass Ion Calculations'!$D$5)),"-")</f>
        <v>-</v>
      </c>
      <c r="O21" s="48" t="str">
        <f>IF('Mass Ion Calculations'!$Y21=TRUE,(IF(B21="","",'1st Deletion Fragment'!D21-'Mass Ion Calculations'!$D$5)),"-")</f>
        <v>-</v>
      </c>
      <c r="P21" s="48" t="str">
        <f>IF('Mass Ion Calculations'!$Y21=TRUE,(IF(C21="","",'1st Deletion Fragment'!E21-'Mass Ion Calculations'!$D$5)),"-")</f>
        <v>-</v>
      </c>
      <c r="Q21" s="48" t="str">
        <f>IF('Mass Ion Calculations'!$Y21=TRUE,(IF(D21="","",'1st Deletion Fragment'!F21-'Mass Ion Calculations'!$D$5)),"-")</f>
        <v>-</v>
      </c>
      <c r="R21" s="48" t="str">
        <f>IF('Mass Ion Calculations'!$Y21=TRUE,(IF(E21="","",'1st Deletion Fragment'!G21-'Mass Ion Calculations'!$D$5)),"-")</f>
        <v>-</v>
      </c>
      <c r="S21" s="48" t="str">
        <f>IF('Mass Ion Calculations'!$Y21=TRUE,(IF(F21="","",'1st Deletion Fragment'!H21-'Mass Ion Calculations'!$D$5)),"-")</f>
        <v>-</v>
      </c>
      <c r="T21" s="48" t="str">
        <f>IF('Mass Ion Calculations'!$Y21=TRUE,(IF(G21="","",'1st Deletion Fragment'!I21-'Mass Ion Calculations'!$D$5)),"-")</f>
        <v>-</v>
      </c>
      <c r="U21" s="48" t="str">
        <f>IF('Mass Ion Calculations'!$Y21=TRUE,(IF(H21="","",'1st Deletion Fragment'!J21-'Mass Ion Calculations'!$D$5)),"-")</f>
        <v>-</v>
      </c>
      <c r="V21" s="48" t="str">
        <f>IF('Mass Ion Calculations'!$Y21=TRUE,(IF(I21="","",'1st Deletion Fragment'!K21-'Mass Ion Calculations'!$D$5)),"-")</f>
        <v>-</v>
      </c>
      <c r="W21" s="2"/>
      <c r="X21">
        <f t="shared" si="10"/>
        <v>1</v>
      </c>
      <c r="Y21" s="3">
        <f t="shared" si="11"/>
        <v>1</v>
      </c>
      <c r="Z21" s="3">
        <f t="shared" si="12"/>
        <v>1</v>
      </c>
      <c r="AA21" s="3">
        <f t="shared" si="13"/>
        <v>1</v>
      </c>
      <c r="AB21" s="3">
        <f t="shared" si="14"/>
        <v>1</v>
      </c>
      <c r="AC21" s="3">
        <f t="shared" si="15"/>
        <v>1</v>
      </c>
      <c r="AD21" s="3">
        <f t="shared" si="16"/>
        <v>1</v>
      </c>
      <c r="AE21" s="3">
        <f t="shared" si="17"/>
        <v>1</v>
      </c>
      <c r="AF21" s="3">
        <f t="shared" si="18"/>
        <v>1</v>
      </c>
      <c r="AG21" s="3">
        <f t="shared" si="19"/>
        <v>1</v>
      </c>
      <c r="AH21" t="str">
        <f t="shared" si="20"/>
        <v/>
      </c>
    </row>
    <row r="22" spans="1:34" x14ac:dyDescent="0.25">
      <c r="A22" s="4" t="str">
        <f>IF('Mass Ion Calculations'!B22="","",'Mass Ion Calculations'!B22)</f>
        <v>HOAt</v>
      </c>
      <c r="B22" t="e">
        <f>IF(A22="","",IF('Mass Ion Calculations'!$D$6="Yes",IF('Mass Ion Calculations'!$D$7="Yes",'Mass Ion Calculations'!$D$18-'Mass Ion Calculations'!C22,'Mass Ion Calculations'!$F$18-'Mass Ion Calculations'!E22),IF('Mass Ion Calculations'!$D$7="Yes", 'Mass Ion Calculations'!$D$15-'Mass Ion Calculations'!C22,'Mass Ion Calculations'!$F$15-'Mass Ion Calculations'!E22)))</f>
        <v>#VALUE!</v>
      </c>
      <c r="C22" t="e">
        <f>IF(A22="","",B22+'AA Exact Masses'!Q$2)</f>
        <v>#VALUE!</v>
      </c>
      <c r="D22" t="e">
        <f>IF(A22="","",B22+'AA Exact Masses'!Q$3)</f>
        <v>#VALUE!</v>
      </c>
      <c r="E22" t="e">
        <f>IF(A22="","",(B22+2*'AA Exact Masses'!Q$2)/2)</f>
        <v>#VALUE!</v>
      </c>
      <c r="F22" t="e">
        <f>IF(A22="","",(B22+2*'AA Exact Masses'!Q$3)/2)</f>
        <v>#VALUE!</v>
      </c>
      <c r="G22" t="e">
        <f>IF(A22="","",(B22+'AA Exact Masses'!Q$2+'AA Exact Masses'!Q$3)/2)</f>
        <v>#VALUE!</v>
      </c>
      <c r="H22" t="e">
        <f>IF($A22="","",($B22+3*'AA Exact Masses'!$Q$2)/3)</f>
        <v>#VALUE!</v>
      </c>
      <c r="I22" t="e">
        <f>IF($A22="","",($B22+2*'AA Exact Masses'!$Q$2+'AA Exact Masses'!$Q$3)/3)</f>
        <v>#VALUE!</v>
      </c>
      <c r="J22" t="e">
        <f>IF($A22="","",($B22+'AA Exact Masses'!$Q$2+2*'AA Exact Masses'!$Q$3)/3)</f>
        <v>#VALUE!</v>
      </c>
      <c r="K22" t="e">
        <f>IF($A22="","",($B22+3*'AA Exact Masses'!$Q$3)/3)</f>
        <v>#VALUE!</v>
      </c>
      <c r="L22" s="1"/>
      <c r="M22" s="8" t="str">
        <f t="shared" si="0"/>
        <v>HOAt</v>
      </c>
      <c r="N22" s="48" t="str">
        <f>IF('Mass Ion Calculations'!$Y22=TRUE,(IF(A22="","",'1st Deletion Fragment'!C22-'Mass Ion Calculations'!$D$5)),"-")</f>
        <v>-</v>
      </c>
      <c r="O22" s="48" t="str">
        <f>IF('Mass Ion Calculations'!$Y22=TRUE,(IF(B22="","",'1st Deletion Fragment'!D22-'Mass Ion Calculations'!$D$5)),"-")</f>
        <v>-</v>
      </c>
      <c r="P22" s="48" t="str">
        <f>IF('Mass Ion Calculations'!$Y22=TRUE,(IF(C22="","",'1st Deletion Fragment'!E22-'Mass Ion Calculations'!$D$5)),"-")</f>
        <v>-</v>
      </c>
      <c r="Q22" s="48" t="str">
        <f>IF('Mass Ion Calculations'!$Y22=TRUE,(IF(D22="","",'1st Deletion Fragment'!F22-'Mass Ion Calculations'!$D$5)),"-")</f>
        <v>-</v>
      </c>
      <c r="R22" s="48" t="str">
        <f>IF('Mass Ion Calculations'!$Y22=TRUE,(IF(E22="","",'1st Deletion Fragment'!G22-'Mass Ion Calculations'!$D$5)),"-")</f>
        <v>-</v>
      </c>
      <c r="S22" s="48" t="str">
        <f>IF('Mass Ion Calculations'!$Y22=TRUE,(IF(F22="","",'1st Deletion Fragment'!H22-'Mass Ion Calculations'!$D$5)),"-")</f>
        <v>-</v>
      </c>
      <c r="T22" s="48" t="str">
        <f>IF('Mass Ion Calculations'!$Y22=TRUE,(IF(G22="","",'1st Deletion Fragment'!I22-'Mass Ion Calculations'!$D$5)),"-")</f>
        <v>-</v>
      </c>
      <c r="U22" s="48" t="str">
        <f>IF('Mass Ion Calculations'!$Y22=TRUE,(IF(H22="","",'1st Deletion Fragment'!J22-'Mass Ion Calculations'!$D$5)),"-")</f>
        <v>-</v>
      </c>
      <c r="V22" s="48" t="str">
        <f>IF('Mass Ion Calculations'!$Y22=TRUE,(IF(I22="","",'1st Deletion Fragment'!K22-'Mass Ion Calculations'!$D$5)),"-")</f>
        <v>-</v>
      </c>
      <c r="W22" s="2"/>
      <c r="X22">
        <f t="shared" si="10"/>
        <v>1</v>
      </c>
      <c r="Y22" s="3">
        <f t="shared" si="11"/>
        <v>1</v>
      </c>
      <c r="Z22" s="3">
        <f t="shared" si="12"/>
        <v>1</v>
      </c>
      <c r="AA22" s="3">
        <f t="shared" si="13"/>
        <v>1</v>
      </c>
      <c r="AB22" s="3">
        <f t="shared" si="14"/>
        <v>1</v>
      </c>
      <c r="AC22" s="3">
        <f t="shared" si="15"/>
        <v>1</v>
      </c>
      <c r="AD22" s="3">
        <f t="shared" si="16"/>
        <v>1</v>
      </c>
      <c r="AE22" s="3">
        <f t="shared" si="17"/>
        <v>1</v>
      </c>
      <c r="AF22" s="3">
        <f t="shared" si="18"/>
        <v>1</v>
      </c>
      <c r="AG22" s="3">
        <f t="shared" si="19"/>
        <v>1</v>
      </c>
      <c r="AH22" t="str">
        <f t="shared" si="20"/>
        <v>HOAt</v>
      </c>
    </row>
    <row r="23" spans="1:34" x14ac:dyDescent="0.25">
      <c r="A23" s="4" t="str">
        <f>IF('Mass Ion Calculations'!B23="","",'Mass Ion Calculations'!B23)</f>
        <v>HCTU</v>
      </c>
      <c r="B23" t="e">
        <f>IF(A23="","",IF('Mass Ion Calculations'!$D$6="Yes",IF('Mass Ion Calculations'!$D$7="Yes",'Mass Ion Calculations'!$D$18-'Mass Ion Calculations'!C23,'Mass Ion Calculations'!$F$18-'Mass Ion Calculations'!E23),IF('Mass Ion Calculations'!$D$7="Yes", 'Mass Ion Calculations'!$D$15-'Mass Ion Calculations'!C23,'Mass Ion Calculations'!$F$15-'Mass Ion Calculations'!E23)))</f>
        <v>#VALUE!</v>
      </c>
      <c r="C23" t="e">
        <f>IF(A23="","",B23+'AA Exact Masses'!Q$2)</f>
        <v>#VALUE!</v>
      </c>
      <c r="D23" t="e">
        <f>IF(A23="","",B23+'AA Exact Masses'!Q$3)</f>
        <v>#VALUE!</v>
      </c>
      <c r="E23" t="e">
        <f>IF(A23="","",(B23+2*'AA Exact Masses'!Q$2)/2)</f>
        <v>#VALUE!</v>
      </c>
      <c r="F23" t="e">
        <f>IF(A23="","",(B23+2*'AA Exact Masses'!Q$3)/2)</f>
        <v>#VALUE!</v>
      </c>
      <c r="G23" t="e">
        <f>IF(A23="","",(B23+'AA Exact Masses'!Q$2+'AA Exact Masses'!Q$3)/2)</f>
        <v>#VALUE!</v>
      </c>
      <c r="H23" t="e">
        <f>IF($A23="","",($B23+3*'AA Exact Masses'!$Q$2)/3)</f>
        <v>#VALUE!</v>
      </c>
      <c r="I23" t="e">
        <f>IF($A23="","",($B23+2*'AA Exact Masses'!$Q$2+'AA Exact Masses'!$Q$3)/3)</f>
        <v>#VALUE!</v>
      </c>
      <c r="J23" t="e">
        <f>IF($A23="","",($B23+'AA Exact Masses'!$Q$2+2*'AA Exact Masses'!$Q$3)/3)</f>
        <v>#VALUE!</v>
      </c>
      <c r="K23" t="e">
        <f>IF($A23="","",($B23+3*'AA Exact Masses'!$Q$3)/3)</f>
        <v>#VALUE!</v>
      </c>
      <c r="L23" s="1"/>
      <c r="M23" s="8" t="str">
        <f t="shared" si="0"/>
        <v>HCTU</v>
      </c>
      <c r="N23" s="48" t="str">
        <f>IF('Mass Ion Calculations'!$Y23=TRUE,(IF(A23="","",'1st Deletion Fragment'!C23-'Mass Ion Calculations'!$D$5)),"-")</f>
        <v>-</v>
      </c>
      <c r="O23" s="48" t="str">
        <f>IF('Mass Ion Calculations'!$Y23=TRUE,(IF(B23="","",'1st Deletion Fragment'!D23-'Mass Ion Calculations'!$D$5)),"-")</f>
        <v>-</v>
      </c>
      <c r="P23" s="48" t="str">
        <f>IF('Mass Ion Calculations'!$Y23=TRUE,(IF(C23="","",'1st Deletion Fragment'!E23-'Mass Ion Calculations'!$D$5)),"-")</f>
        <v>-</v>
      </c>
      <c r="Q23" s="48" t="str">
        <f>IF('Mass Ion Calculations'!$Y23=TRUE,(IF(D23="","",'1st Deletion Fragment'!F23-'Mass Ion Calculations'!$D$5)),"-")</f>
        <v>-</v>
      </c>
      <c r="R23" s="48" t="str">
        <f>IF('Mass Ion Calculations'!$Y23=TRUE,(IF(E23="","",'1st Deletion Fragment'!G23-'Mass Ion Calculations'!$D$5)),"-")</f>
        <v>-</v>
      </c>
      <c r="S23" s="48" t="str">
        <f>IF('Mass Ion Calculations'!$Y23=TRUE,(IF(F23="","",'1st Deletion Fragment'!H23-'Mass Ion Calculations'!$D$5)),"-")</f>
        <v>-</v>
      </c>
      <c r="T23" s="48" t="str">
        <f>IF('Mass Ion Calculations'!$Y23=TRUE,(IF(G23="","",'1st Deletion Fragment'!I23-'Mass Ion Calculations'!$D$5)),"-")</f>
        <v>-</v>
      </c>
      <c r="U23" s="48" t="str">
        <f>IF('Mass Ion Calculations'!$Y23=TRUE,(IF(H23="","",'1st Deletion Fragment'!J23-'Mass Ion Calculations'!$D$5)),"-")</f>
        <v>-</v>
      </c>
      <c r="V23" s="48" t="str">
        <f>IF('Mass Ion Calculations'!$Y23=TRUE,(IF(I23="","",'1st Deletion Fragment'!K23-'Mass Ion Calculations'!$D$5)),"-")</f>
        <v>-</v>
      </c>
      <c r="W23" s="2"/>
      <c r="X23">
        <f t="shared" si="10"/>
        <v>1</v>
      </c>
      <c r="Y23" s="3">
        <f t="shared" si="11"/>
        <v>1</v>
      </c>
      <c r="Z23" s="3">
        <f t="shared" si="12"/>
        <v>1</v>
      </c>
      <c r="AA23" s="3">
        <f t="shared" si="13"/>
        <v>1</v>
      </c>
      <c r="AB23" s="3">
        <f t="shared" si="14"/>
        <v>1</v>
      </c>
      <c r="AC23" s="3">
        <f t="shared" si="15"/>
        <v>1</v>
      </c>
      <c r="AD23" s="3">
        <f t="shared" si="16"/>
        <v>1</v>
      </c>
      <c r="AE23" s="3">
        <f t="shared" si="17"/>
        <v>1</v>
      </c>
      <c r="AF23" s="3">
        <f t="shared" si="18"/>
        <v>1</v>
      </c>
      <c r="AG23" s="3">
        <f t="shared" si="19"/>
        <v>1</v>
      </c>
      <c r="AH23" t="str">
        <f t="shared" si="20"/>
        <v>HCTU</v>
      </c>
    </row>
    <row r="24" spans="1:34" x14ac:dyDescent="0.25">
      <c r="A24" s="4" t="str">
        <f>IF('Mass Ion Calculations'!B24="","",'Mass Ion Calculations'!B24)</f>
        <v/>
      </c>
      <c r="B24" t="str">
        <f>IF(A24="","",IF('Mass Ion Calculations'!$D$6="Yes",IF('Mass Ion Calculations'!$D$7="Yes",'Mass Ion Calculations'!$D$18-'Mass Ion Calculations'!C24,'Mass Ion Calculations'!$F$18-'Mass Ion Calculations'!E24),IF('Mass Ion Calculations'!$D$7="Yes", 'Mass Ion Calculations'!$D$15-'Mass Ion Calculations'!C24,'Mass Ion Calculations'!$F$15-'Mass Ion Calculations'!E24)))</f>
        <v/>
      </c>
      <c r="C24" t="str">
        <f>IF(A24="","",B24+'AA Exact Masses'!Q$2)</f>
        <v/>
      </c>
      <c r="D24" t="str">
        <f>IF(A24="","",B24+'AA Exact Masses'!Q$3)</f>
        <v/>
      </c>
      <c r="E24" t="str">
        <f>IF(A24="","",(B24+2*'AA Exact Masses'!Q$2)/2)</f>
        <v/>
      </c>
      <c r="F24" t="str">
        <f>IF(A24="","",(B24+2*'AA Exact Masses'!Q$3)/2)</f>
        <v/>
      </c>
      <c r="G24" t="str">
        <f>IF(A24="","",(B24+'AA Exact Masses'!Q$2+'AA Exact Masses'!Q$3)/2)</f>
        <v/>
      </c>
      <c r="H24" t="str">
        <f>IF($A24="","",($B24+3*'AA Exact Masses'!$Q$2)/3)</f>
        <v/>
      </c>
      <c r="I24" t="str">
        <f>IF($A24="","",($B24+2*'AA Exact Masses'!$Q$2+'AA Exact Masses'!$Q$3)/3)</f>
        <v/>
      </c>
      <c r="J24" t="str">
        <f>IF($A24="","",($B24+'AA Exact Masses'!$Q$2+2*'AA Exact Masses'!$Q$3)/3)</f>
        <v/>
      </c>
      <c r="K24" t="str">
        <f>IF($A24="","",($B24+3*'AA Exact Masses'!$Q$3)/3)</f>
        <v/>
      </c>
      <c r="L24" s="1"/>
      <c r="M24" s="8" t="str">
        <f t="shared" si="0"/>
        <v/>
      </c>
      <c r="N24" s="48" t="str">
        <f>IF('Mass Ion Calculations'!$Y24=TRUE,(IF(A24="","",'1st Deletion Fragment'!C24-'Mass Ion Calculations'!$D$5)),"-")</f>
        <v>-</v>
      </c>
      <c r="O24" s="48" t="str">
        <f>IF('Mass Ion Calculations'!$Y24=TRUE,(IF(B24="","",'1st Deletion Fragment'!D24-'Mass Ion Calculations'!$D$5)),"-")</f>
        <v>-</v>
      </c>
      <c r="P24" s="48" t="str">
        <f>IF('Mass Ion Calculations'!$Y24=TRUE,(IF(C24="","",'1st Deletion Fragment'!E24-'Mass Ion Calculations'!$D$5)),"-")</f>
        <v>-</v>
      </c>
      <c r="Q24" s="48" t="str">
        <f>IF('Mass Ion Calculations'!$Y24=TRUE,(IF(D24="","",'1st Deletion Fragment'!F24-'Mass Ion Calculations'!$D$5)),"-")</f>
        <v>-</v>
      </c>
      <c r="R24" s="48" t="str">
        <f>IF('Mass Ion Calculations'!$Y24=TRUE,(IF(E24="","",'1st Deletion Fragment'!G24-'Mass Ion Calculations'!$D$5)),"-")</f>
        <v>-</v>
      </c>
      <c r="S24" s="48" t="str">
        <f>IF('Mass Ion Calculations'!$Y24=TRUE,(IF(F24="","",'1st Deletion Fragment'!H24-'Mass Ion Calculations'!$D$5)),"-")</f>
        <v>-</v>
      </c>
      <c r="T24" s="48" t="str">
        <f>IF('Mass Ion Calculations'!$Y24=TRUE,(IF(G24="","",'1st Deletion Fragment'!I24-'Mass Ion Calculations'!$D$5)),"-")</f>
        <v>-</v>
      </c>
      <c r="U24" s="48" t="str">
        <f>IF('Mass Ion Calculations'!$Y24=TRUE,(IF(H24="","",'1st Deletion Fragment'!J24-'Mass Ion Calculations'!$D$5)),"-")</f>
        <v>-</v>
      </c>
      <c r="V24" s="48" t="str">
        <f>IF('Mass Ion Calculations'!$Y24=TRUE,(IF(I24="","",'1st Deletion Fragment'!K24-'Mass Ion Calculations'!$D$5)),"-")</f>
        <v>-</v>
      </c>
      <c r="W24" s="2"/>
      <c r="X24">
        <f t="shared" si="10"/>
        <v>1</v>
      </c>
      <c r="Y24" s="3">
        <f t="shared" si="11"/>
        <v>1</v>
      </c>
      <c r="Z24" s="3">
        <f t="shared" si="12"/>
        <v>1</v>
      </c>
      <c r="AA24" s="3">
        <f t="shared" si="13"/>
        <v>1</v>
      </c>
      <c r="AB24" s="3">
        <f t="shared" si="14"/>
        <v>1</v>
      </c>
      <c r="AC24" s="3">
        <f t="shared" si="15"/>
        <v>1</v>
      </c>
      <c r="AD24" s="3">
        <f t="shared" si="16"/>
        <v>1</v>
      </c>
      <c r="AE24" s="3">
        <f t="shared" si="17"/>
        <v>1</v>
      </c>
      <c r="AF24" s="3">
        <f t="shared" si="18"/>
        <v>1</v>
      </c>
      <c r="AG24" s="3">
        <f t="shared" si="19"/>
        <v>1</v>
      </c>
      <c r="AH24" t="str">
        <f t="shared" si="20"/>
        <v/>
      </c>
    </row>
    <row r="25" spans="1:34" x14ac:dyDescent="0.25">
      <c r="A25" s="4" t="str">
        <f>IF('Mass Ion Calculations'!B25="","",'Mass Ion Calculations'!B25)</f>
        <v/>
      </c>
      <c r="B25" t="str">
        <f>IF(A25="","",IF('Mass Ion Calculations'!$D$6="Yes",IF('Mass Ion Calculations'!$D$7="Yes",'Mass Ion Calculations'!$D$18-'Mass Ion Calculations'!C25,'Mass Ion Calculations'!$F$18-'Mass Ion Calculations'!E25),IF('Mass Ion Calculations'!$D$7="Yes", 'Mass Ion Calculations'!$D$15-'Mass Ion Calculations'!C25,'Mass Ion Calculations'!$F$15-'Mass Ion Calculations'!E25)))</f>
        <v/>
      </c>
      <c r="C25" t="str">
        <f>IF(A25="","",B25+'AA Exact Masses'!Q$2)</f>
        <v/>
      </c>
      <c r="D25" t="str">
        <f>IF(A25="","",B25+'AA Exact Masses'!Q$3)</f>
        <v/>
      </c>
      <c r="E25" t="str">
        <f>IF(A25="","",(B25+2*'AA Exact Masses'!Q$2)/2)</f>
        <v/>
      </c>
      <c r="F25" t="str">
        <f>IF(A25="","",(B25+2*'AA Exact Masses'!Q$3)/2)</f>
        <v/>
      </c>
      <c r="G25" t="str">
        <f>IF(A25="","",(B25+'AA Exact Masses'!Q$2+'AA Exact Masses'!Q$3)/2)</f>
        <v/>
      </c>
      <c r="H25" t="str">
        <f>IF($A25="","",($B25+3*'AA Exact Masses'!$Q$2)/3)</f>
        <v/>
      </c>
      <c r="I25" t="str">
        <f>IF($A25="","",($B25+2*'AA Exact Masses'!$Q$2+'AA Exact Masses'!$Q$3)/3)</f>
        <v/>
      </c>
      <c r="J25" t="str">
        <f>IF($A25="","",($B25+'AA Exact Masses'!$Q$2+2*'AA Exact Masses'!$Q$3)/3)</f>
        <v/>
      </c>
      <c r="K25" t="str">
        <f>IF($A25="","",($B25+3*'AA Exact Masses'!$Q$3)/3)</f>
        <v/>
      </c>
      <c r="L25" s="1"/>
      <c r="M25" s="8" t="str">
        <f t="shared" si="0"/>
        <v/>
      </c>
      <c r="N25" s="48" t="str">
        <f>IF('Mass Ion Calculations'!$Y25=TRUE,(IF(A25="","",'1st Deletion Fragment'!C25-'Mass Ion Calculations'!$D$5)),"-")</f>
        <v>-</v>
      </c>
      <c r="O25" s="48" t="str">
        <f>IF('Mass Ion Calculations'!$Y25=TRUE,(IF(B25="","",'1st Deletion Fragment'!D25-'Mass Ion Calculations'!$D$5)),"-")</f>
        <v>-</v>
      </c>
      <c r="P25" s="48" t="str">
        <f>IF('Mass Ion Calculations'!$Y25=TRUE,(IF(C25="","",'1st Deletion Fragment'!E25-'Mass Ion Calculations'!$D$5)),"-")</f>
        <v>-</v>
      </c>
      <c r="Q25" s="48" t="str">
        <f>IF('Mass Ion Calculations'!$Y25=TRUE,(IF(D25="","",'1st Deletion Fragment'!F25-'Mass Ion Calculations'!$D$5)),"-")</f>
        <v>-</v>
      </c>
      <c r="R25" s="48" t="str">
        <f>IF('Mass Ion Calculations'!$Y25=TRUE,(IF(E25="","",'1st Deletion Fragment'!G25-'Mass Ion Calculations'!$D$5)),"-")</f>
        <v>-</v>
      </c>
      <c r="S25" s="48" t="str">
        <f>IF('Mass Ion Calculations'!$Y25=TRUE,(IF(F25="","",'1st Deletion Fragment'!H25-'Mass Ion Calculations'!$D$5)),"-")</f>
        <v>-</v>
      </c>
      <c r="T25" s="48" t="str">
        <f>IF('Mass Ion Calculations'!$Y25=TRUE,(IF(G25="","",'1st Deletion Fragment'!I25-'Mass Ion Calculations'!$D$5)),"-")</f>
        <v>-</v>
      </c>
      <c r="U25" s="48" t="str">
        <f>IF('Mass Ion Calculations'!$Y25=TRUE,(IF(H25="","",'1st Deletion Fragment'!J25-'Mass Ion Calculations'!$D$5)),"-")</f>
        <v>-</v>
      </c>
      <c r="V25" s="48" t="str">
        <f>IF('Mass Ion Calculations'!$Y25=TRUE,(IF(I25="","",'1st Deletion Fragment'!K25-'Mass Ion Calculations'!$D$5)),"-")</f>
        <v>-</v>
      </c>
      <c r="W25" s="2"/>
      <c r="X25">
        <f t="shared" si="10"/>
        <v>1</v>
      </c>
      <c r="Y25" s="3">
        <f t="shared" si="11"/>
        <v>1</v>
      </c>
      <c r="Z25" s="3">
        <f t="shared" si="12"/>
        <v>1</v>
      </c>
      <c r="AA25" s="3">
        <f t="shared" si="13"/>
        <v>1</v>
      </c>
      <c r="AB25" s="3">
        <f t="shared" si="14"/>
        <v>1</v>
      </c>
      <c r="AC25" s="3">
        <f t="shared" si="15"/>
        <v>1</v>
      </c>
      <c r="AD25" s="3">
        <f t="shared" si="16"/>
        <v>1</v>
      </c>
      <c r="AE25" s="3">
        <f t="shared" si="17"/>
        <v>1</v>
      </c>
      <c r="AF25" s="3">
        <f t="shared" si="18"/>
        <v>1</v>
      </c>
      <c r="AG25" s="3">
        <f t="shared" si="19"/>
        <v>1</v>
      </c>
      <c r="AH25" t="str">
        <f t="shared" si="20"/>
        <v/>
      </c>
    </row>
    <row r="26" spans="1:34" x14ac:dyDescent="0.25">
      <c r="A26" s="4" t="str">
        <f>IF('Mass Ion Calculations'!B26="","",'Mass Ion Calculations'!B26)</f>
        <v/>
      </c>
      <c r="B26" t="str">
        <f>IF(A26="","",IF('Mass Ion Calculations'!$D$6="Yes",IF('Mass Ion Calculations'!$D$7="Yes",'Mass Ion Calculations'!$D$18-'Mass Ion Calculations'!C26,'Mass Ion Calculations'!$F$18-'Mass Ion Calculations'!E26),IF('Mass Ion Calculations'!$D$7="Yes", 'Mass Ion Calculations'!$D$15-'Mass Ion Calculations'!C26,'Mass Ion Calculations'!$F$15-'Mass Ion Calculations'!E26)))</f>
        <v/>
      </c>
      <c r="C26" t="str">
        <f>IF(A26="","",B26+'AA Exact Masses'!Q$2)</f>
        <v/>
      </c>
      <c r="D26" t="str">
        <f>IF(A26="","",B26+'AA Exact Masses'!Q$3)</f>
        <v/>
      </c>
      <c r="E26" t="str">
        <f>IF(A26="","",(B26+2*'AA Exact Masses'!Q$2)/2)</f>
        <v/>
      </c>
      <c r="F26" t="str">
        <f>IF(A26="","",(B26+2*'AA Exact Masses'!Q$3)/2)</f>
        <v/>
      </c>
      <c r="G26" t="str">
        <f>IF(A26="","",(B26+'AA Exact Masses'!Q$2+'AA Exact Masses'!Q$3)/2)</f>
        <v/>
      </c>
      <c r="H26" t="str">
        <f>IF($A26="","",($B26+3*'AA Exact Masses'!$Q$2)/3)</f>
        <v/>
      </c>
      <c r="I26" t="str">
        <f>IF($A26="","",($B26+2*'AA Exact Masses'!$Q$2+'AA Exact Masses'!$Q$3)/3)</f>
        <v/>
      </c>
      <c r="J26" t="str">
        <f>IF($A26="","",($B26+'AA Exact Masses'!$Q$2+2*'AA Exact Masses'!$Q$3)/3)</f>
        <v/>
      </c>
      <c r="K26" t="str">
        <f>IF($A26="","",($B26+3*'AA Exact Masses'!$Q$3)/3)</f>
        <v/>
      </c>
      <c r="L26" s="1"/>
      <c r="M26" s="8" t="str">
        <f t="shared" si="0"/>
        <v/>
      </c>
      <c r="N26" s="48" t="str">
        <f>IF('Mass Ion Calculations'!$Y26=TRUE,(IF(A26="","",'1st Deletion Fragment'!C26-'Mass Ion Calculations'!$D$5)),"-")</f>
        <v>-</v>
      </c>
      <c r="O26" s="48" t="str">
        <f>IF('Mass Ion Calculations'!$Y26=TRUE,(IF(B26="","",'1st Deletion Fragment'!D26-'Mass Ion Calculations'!$D$5)),"-")</f>
        <v>-</v>
      </c>
      <c r="P26" s="48" t="str">
        <f>IF('Mass Ion Calculations'!$Y26=TRUE,(IF(C26="","",'1st Deletion Fragment'!E26-'Mass Ion Calculations'!$D$5)),"-")</f>
        <v>-</v>
      </c>
      <c r="Q26" s="48" t="str">
        <f>IF('Mass Ion Calculations'!$Y26=TRUE,(IF(D26="","",'1st Deletion Fragment'!F26-'Mass Ion Calculations'!$D$5)),"-")</f>
        <v>-</v>
      </c>
      <c r="R26" s="48" t="str">
        <f>IF('Mass Ion Calculations'!$Y26=TRUE,(IF(E26="","",'1st Deletion Fragment'!G26-'Mass Ion Calculations'!$D$5)),"-")</f>
        <v>-</v>
      </c>
      <c r="S26" s="48" t="str">
        <f>IF('Mass Ion Calculations'!$Y26=TRUE,(IF(F26="","",'1st Deletion Fragment'!H26-'Mass Ion Calculations'!$D$5)),"-")</f>
        <v>-</v>
      </c>
      <c r="T26" s="48" t="str">
        <f>IF('Mass Ion Calculations'!$Y26=TRUE,(IF(G26="","",'1st Deletion Fragment'!I26-'Mass Ion Calculations'!$D$5)),"-")</f>
        <v>-</v>
      </c>
      <c r="U26" s="48" t="str">
        <f>IF('Mass Ion Calculations'!$Y26=TRUE,(IF(H26="","",'1st Deletion Fragment'!J26-'Mass Ion Calculations'!$D$5)),"-")</f>
        <v>-</v>
      </c>
      <c r="V26" s="48" t="str">
        <f>IF('Mass Ion Calculations'!$Y26=TRUE,(IF(I26="","",'1st Deletion Fragment'!K26-'Mass Ion Calculations'!$D$5)),"-")</f>
        <v>-</v>
      </c>
      <c r="W26" s="2"/>
      <c r="X26">
        <f t="shared" si="10"/>
        <v>1</v>
      </c>
      <c r="Y26" s="3">
        <f t="shared" si="11"/>
        <v>1</v>
      </c>
      <c r="Z26" s="3">
        <f t="shared" si="12"/>
        <v>1</v>
      </c>
      <c r="AA26" s="3">
        <f t="shared" si="13"/>
        <v>1</v>
      </c>
      <c r="AB26" s="3">
        <f t="shared" si="14"/>
        <v>1</v>
      </c>
      <c r="AC26" s="3">
        <f t="shared" si="15"/>
        <v>1</v>
      </c>
      <c r="AD26" s="3">
        <f t="shared" si="16"/>
        <v>1</v>
      </c>
      <c r="AE26" s="3">
        <f t="shared" si="17"/>
        <v>1</v>
      </c>
      <c r="AF26" s="3">
        <f t="shared" si="18"/>
        <v>1</v>
      </c>
      <c r="AG26" s="3">
        <f t="shared" si="19"/>
        <v>1</v>
      </c>
      <c r="AH26" t="str">
        <f t="shared" si="20"/>
        <v/>
      </c>
    </row>
    <row r="27" spans="1:34" x14ac:dyDescent="0.25">
      <c r="A27" s="4" t="str">
        <f>IF('Mass Ion Calculations'!B27="","",'Mass Ion Calculations'!B27)</f>
        <v/>
      </c>
      <c r="B27" t="str">
        <f>IF(A27="","",IF('Mass Ion Calculations'!$D$6="Yes",IF('Mass Ion Calculations'!$D$7="Yes",'Mass Ion Calculations'!$D$18-'Mass Ion Calculations'!C27,'Mass Ion Calculations'!$F$18-'Mass Ion Calculations'!E27),IF('Mass Ion Calculations'!$D$7="Yes", 'Mass Ion Calculations'!$D$15-'Mass Ion Calculations'!C27,'Mass Ion Calculations'!$F$15-'Mass Ion Calculations'!E27)))</f>
        <v/>
      </c>
      <c r="C27" t="str">
        <f>IF(A27="","",B27+'AA Exact Masses'!Q$2)</f>
        <v/>
      </c>
      <c r="D27" t="str">
        <f>IF(A27="","",B27+'AA Exact Masses'!Q$3)</f>
        <v/>
      </c>
      <c r="E27" t="str">
        <f>IF(A27="","",(B27+2*'AA Exact Masses'!Q$2)/2)</f>
        <v/>
      </c>
      <c r="F27" t="str">
        <f>IF(A27="","",(B27+2*'AA Exact Masses'!Q$3)/2)</f>
        <v/>
      </c>
      <c r="G27" t="str">
        <f>IF(A27="","",(B27+'AA Exact Masses'!Q$2+'AA Exact Masses'!Q$3)/2)</f>
        <v/>
      </c>
      <c r="H27" t="str">
        <f>IF($A27="","",($B27+3*'AA Exact Masses'!$Q$2)/3)</f>
        <v/>
      </c>
      <c r="I27" t="str">
        <f>IF($A27="","",($B27+2*'AA Exact Masses'!$Q$2+'AA Exact Masses'!$Q$3)/3)</f>
        <v/>
      </c>
      <c r="J27" t="str">
        <f>IF($A27="","",($B27+'AA Exact Masses'!$Q$2+2*'AA Exact Masses'!$Q$3)/3)</f>
        <v/>
      </c>
      <c r="K27" t="str">
        <f>IF($A27="","",($B27+3*'AA Exact Masses'!$Q$3)/3)</f>
        <v/>
      </c>
      <c r="L27" s="1"/>
      <c r="M27" s="8" t="str">
        <f t="shared" si="0"/>
        <v/>
      </c>
      <c r="N27" s="48" t="str">
        <f>IF('Mass Ion Calculations'!$Y27=TRUE,(IF(A27="","",'1st Deletion Fragment'!C27-'Mass Ion Calculations'!$D$5)),"-")</f>
        <v>-</v>
      </c>
      <c r="O27" s="48" t="str">
        <f>IF('Mass Ion Calculations'!$Y27=TRUE,(IF(B27="","",'1st Deletion Fragment'!D27-'Mass Ion Calculations'!$D$5)),"-")</f>
        <v>-</v>
      </c>
      <c r="P27" s="48" t="str">
        <f>IF('Mass Ion Calculations'!$Y27=TRUE,(IF(C27="","",'1st Deletion Fragment'!E27-'Mass Ion Calculations'!$D$5)),"-")</f>
        <v>-</v>
      </c>
      <c r="Q27" s="48" t="str">
        <f>IF('Mass Ion Calculations'!$Y27=TRUE,(IF(D27="","",'1st Deletion Fragment'!F27-'Mass Ion Calculations'!$D$5)),"-")</f>
        <v>-</v>
      </c>
      <c r="R27" s="48" t="str">
        <f>IF('Mass Ion Calculations'!$Y27=TRUE,(IF(E27="","",'1st Deletion Fragment'!G27-'Mass Ion Calculations'!$D$5)),"-")</f>
        <v>-</v>
      </c>
      <c r="S27" s="48" t="str">
        <f>IF('Mass Ion Calculations'!$Y27=TRUE,(IF(F27="","",'1st Deletion Fragment'!H27-'Mass Ion Calculations'!$D$5)),"-")</f>
        <v>-</v>
      </c>
      <c r="T27" s="48" t="str">
        <f>IF('Mass Ion Calculations'!$Y27=TRUE,(IF(G27="","",'1st Deletion Fragment'!I27-'Mass Ion Calculations'!$D$5)),"-")</f>
        <v>-</v>
      </c>
      <c r="U27" s="48" t="str">
        <f>IF('Mass Ion Calculations'!$Y27=TRUE,(IF(H27="","",'1st Deletion Fragment'!J27-'Mass Ion Calculations'!$D$5)),"-")</f>
        <v>-</v>
      </c>
      <c r="V27" s="48" t="str">
        <f>IF('Mass Ion Calculations'!$Y27=TRUE,(IF(I27="","",'1st Deletion Fragment'!K27-'Mass Ion Calculations'!$D$5)),"-")</f>
        <v>-</v>
      </c>
      <c r="W27" s="2"/>
      <c r="X27">
        <f t="shared" si="10"/>
        <v>1</v>
      </c>
      <c r="Y27" s="3">
        <f t="shared" si="11"/>
        <v>1</v>
      </c>
      <c r="Z27" s="3">
        <f t="shared" si="12"/>
        <v>1</v>
      </c>
      <c r="AA27" s="3">
        <f t="shared" si="13"/>
        <v>1</v>
      </c>
      <c r="AB27" s="3">
        <f t="shared" si="14"/>
        <v>1</v>
      </c>
      <c r="AC27" s="3">
        <f t="shared" si="15"/>
        <v>1</v>
      </c>
      <c r="AD27" s="3">
        <f t="shared" si="16"/>
        <v>1</v>
      </c>
      <c r="AE27" s="3">
        <f t="shared" si="17"/>
        <v>1</v>
      </c>
      <c r="AF27" s="3">
        <f t="shared" si="18"/>
        <v>1</v>
      </c>
      <c r="AG27" s="3">
        <f t="shared" si="19"/>
        <v>1</v>
      </c>
      <c r="AH27" t="str">
        <f t="shared" si="20"/>
        <v/>
      </c>
    </row>
    <row r="28" spans="1:34" x14ac:dyDescent="0.25">
      <c r="A28" s="4" t="str">
        <f>IF('Mass Ion Calculations'!B28="","",'Mass Ion Calculations'!B28)</f>
        <v/>
      </c>
      <c r="B28" t="str">
        <f>IF(A28="","",IF('Mass Ion Calculations'!$D$6="Yes",IF('Mass Ion Calculations'!$D$7="Yes",'Mass Ion Calculations'!$D$18-'Mass Ion Calculations'!C28,'Mass Ion Calculations'!$F$18-'Mass Ion Calculations'!E28),IF('Mass Ion Calculations'!$D$7="Yes", 'Mass Ion Calculations'!$D$15-'Mass Ion Calculations'!C28,'Mass Ion Calculations'!$F$15-'Mass Ion Calculations'!E28)))</f>
        <v/>
      </c>
      <c r="C28" t="str">
        <f>IF(A28="","",B28+'AA Exact Masses'!Q$2)</f>
        <v/>
      </c>
      <c r="D28" t="str">
        <f>IF(A28="","",B28+'AA Exact Masses'!Q$3)</f>
        <v/>
      </c>
      <c r="E28" t="str">
        <f>IF(A28="","",(B28+2*'AA Exact Masses'!Q$2)/2)</f>
        <v/>
      </c>
      <c r="F28" t="str">
        <f>IF(A28="","",(B28+2*'AA Exact Masses'!Q$3)/2)</f>
        <v/>
      </c>
      <c r="G28" t="str">
        <f>IF(A28="","",(B28+'AA Exact Masses'!Q$2+'AA Exact Masses'!Q$3)/2)</f>
        <v/>
      </c>
      <c r="H28" t="str">
        <f>IF($A28="","",($B28+3*'AA Exact Masses'!$Q$2)/3)</f>
        <v/>
      </c>
      <c r="I28" t="str">
        <f>IF($A28="","",($B28+2*'AA Exact Masses'!$Q$2+'AA Exact Masses'!$Q$3)/3)</f>
        <v/>
      </c>
      <c r="J28" t="str">
        <f>IF($A28="","",($B28+'AA Exact Masses'!$Q$2+2*'AA Exact Masses'!$Q$3)/3)</f>
        <v/>
      </c>
      <c r="K28" t="str">
        <f>IF($A28="","",($B28+3*'AA Exact Masses'!$Q$3)/3)</f>
        <v/>
      </c>
      <c r="L28" s="1"/>
      <c r="M28" s="8" t="str">
        <f t="shared" si="0"/>
        <v/>
      </c>
      <c r="N28" s="48" t="str">
        <f>IF('Mass Ion Calculations'!$Y28=TRUE,(IF(A28="","",'1st Deletion Fragment'!C28-'Mass Ion Calculations'!$D$5)),"-")</f>
        <v>-</v>
      </c>
      <c r="O28" s="48" t="str">
        <f>IF('Mass Ion Calculations'!$Y28=TRUE,(IF(B28="","",'1st Deletion Fragment'!D28-'Mass Ion Calculations'!$D$5)),"-")</f>
        <v>-</v>
      </c>
      <c r="P28" s="48" t="str">
        <f>IF('Mass Ion Calculations'!$Y28=TRUE,(IF(C28="","",'1st Deletion Fragment'!E28-'Mass Ion Calculations'!$D$5)),"-")</f>
        <v>-</v>
      </c>
      <c r="Q28" s="48" t="str">
        <f>IF('Mass Ion Calculations'!$Y28=TRUE,(IF(D28="","",'1st Deletion Fragment'!F28-'Mass Ion Calculations'!$D$5)),"-")</f>
        <v>-</v>
      </c>
      <c r="R28" s="48" t="str">
        <f>IF('Mass Ion Calculations'!$Y28=TRUE,(IF(E28="","",'1st Deletion Fragment'!G28-'Mass Ion Calculations'!$D$5)),"-")</f>
        <v>-</v>
      </c>
      <c r="S28" s="48" t="str">
        <f>IF('Mass Ion Calculations'!$Y28=TRUE,(IF(F28="","",'1st Deletion Fragment'!H28-'Mass Ion Calculations'!$D$5)),"-")</f>
        <v>-</v>
      </c>
      <c r="T28" s="48" t="str">
        <f>IF('Mass Ion Calculations'!$Y28=TRUE,(IF(G28="","",'1st Deletion Fragment'!I28-'Mass Ion Calculations'!$D$5)),"-")</f>
        <v>-</v>
      </c>
      <c r="U28" s="48" t="str">
        <f>IF('Mass Ion Calculations'!$Y28=TRUE,(IF(H28="","",'1st Deletion Fragment'!J28-'Mass Ion Calculations'!$D$5)),"-")</f>
        <v>-</v>
      </c>
      <c r="V28" s="48" t="str">
        <f>IF('Mass Ion Calculations'!$Y28=TRUE,(IF(I28="","",'1st Deletion Fragment'!K28-'Mass Ion Calculations'!$D$5)),"-")</f>
        <v>-</v>
      </c>
      <c r="W28" s="2"/>
      <c r="X28">
        <f t="shared" si="10"/>
        <v>1</v>
      </c>
      <c r="Y28" s="3">
        <f t="shared" si="11"/>
        <v>1</v>
      </c>
      <c r="Z28" s="3">
        <f t="shared" si="12"/>
        <v>1</v>
      </c>
      <c r="AA28" s="3">
        <f t="shared" si="13"/>
        <v>1</v>
      </c>
      <c r="AB28" s="3">
        <f t="shared" si="14"/>
        <v>1</v>
      </c>
      <c r="AC28" s="3">
        <f t="shared" si="15"/>
        <v>1</v>
      </c>
      <c r="AD28" s="3">
        <f t="shared" si="16"/>
        <v>1</v>
      </c>
      <c r="AE28" s="3">
        <f t="shared" si="17"/>
        <v>1</v>
      </c>
      <c r="AF28" s="3">
        <f t="shared" si="18"/>
        <v>1</v>
      </c>
      <c r="AG28" s="3">
        <f t="shared" si="19"/>
        <v>1</v>
      </c>
      <c r="AH28" t="str">
        <f t="shared" si="20"/>
        <v/>
      </c>
    </row>
    <row r="29" spans="1:34" x14ac:dyDescent="0.25">
      <c r="A29" s="4" t="str">
        <f>IF('Mass Ion Calculations'!B29="","",'Mass Ion Calculations'!B29)</f>
        <v/>
      </c>
      <c r="B29" t="str">
        <f>IF(A29="","",IF('Mass Ion Calculations'!$D$6="Yes",IF('Mass Ion Calculations'!$D$7="Yes",'Mass Ion Calculations'!$D$18-'Mass Ion Calculations'!C29,'Mass Ion Calculations'!$F$18-'Mass Ion Calculations'!E29),IF('Mass Ion Calculations'!$D$7="Yes", 'Mass Ion Calculations'!$D$15-'Mass Ion Calculations'!C29,'Mass Ion Calculations'!$F$15-'Mass Ion Calculations'!E29)))</f>
        <v/>
      </c>
      <c r="C29" t="str">
        <f>IF(A29="","",B29+'AA Exact Masses'!Q$2)</f>
        <v/>
      </c>
      <c r="D29" t="str">
        <f>IF(A29="","",B29+'AA Exact Masses'!Q$3)</f>
        <v/>
      </c>
      <c r="E29" t="str">
        <f>IF(A29="","",(B29+2*'AA Exact Masses'!Q$2)/2)</f>
        <v/>
      </c>
      <c r="F29" t="str">
        <f>IF(A29="","",(B29+2*'AA Exact Masses'!Q$3)/2)</f>
        <v/>
      </c>
      <c r="G29" t="str">
        <f>IF(A29="","",(B29+'AA Exact Masses'!Q$2+'AA Exact Masses'!Q$3)/2)</f>
        <v/>
      </c>
      <c r="H29" t="str">
        <f>IF($A29="","",($B29+3*'AA Exact Masses'!$Q$2)/3)</f>
        <v/>
      </c>
      <c r="I29" t="str">
        <f>IF($A29="","",($B29+2*'AA Exact Masses'!$Q$2+'AA Exact Masses'!$Q$3)/3)</f>
        <v/>
      </c>
      <c r="J29" t="str">
        <f>IF($A29="","",($B29+'AA Exact Masses'!$Q$2+2*'AA Exact Masses'!$Q$3)/3)</f>
        <v/>
      </c>
      <c r="K29" t="str">
        <f>IF($A29="","",($B29+3*'AA Exact Masses'!$Q$3)/3)</f>
        <v/>
      </c>
      <c r="L29" s="1"/>
      <c r="M29" s="8" t="str">
        <f t="shared" si="0"/>
        <v/>
      </c>
      <c r="N29" s="48" t="str">
        <f>IF('Mass Ion Calculations'!$Y29=TRUE,(IF(A29="","",'1st Deletion Fragment'!C29-'Mass Ion Calculations'!$D$5)),"-")</f>
        <v>-</v>
      </c>
      <c r="O29" s="48" t="str">
        <f>IF('Mass Ion Calculations'!$Y29=TRUE,(IF(B29="","",'1st Deletion Fragment'!D29-'Mass Ion Calculations'!$D$5)),"-")</f>
        <v>-</v>
      </c>
      <c r="P29" s="48" t="str">
        <f>IF('Mass Ion Calculations'!$Y29=TRUE,(IF(C29="","",'1st Deletion Fragment'!E29-'Mass Ion Calculations'!$D$5)),"-")</f>
        <v>-</v>
      </c>
      <c r="Q29" s="48" t="str">
        <f>IF('Mass Ion Calculations'!$Y29=TRUE,(IF(D29="","",'1st Deletion Fragment'!F29-'Mass Ion Calculations'!$D$5)),"-")</f>
        <v>-</v>
      </c>
      <c r="R29" s="48" t="str">
        <f>IF('Mass Ion Calculations'!$Y29=TRUE,(IF(E29="","",'1st Deletion Fragment'!G29-'Mass Ion Calculations'!$D$5)),"-")</f>
        <v>-</v>
      </c>
      <c r="S29" s="48" t="str">
        <f>IF('Mass Ion Calculations'!$Y29=TRUE,(IF(F29="","",'1st Deletion Fragment'!H29-'Mass Ion Calculations'!$D$5)),"-")</f>
        <v>-</v>
      </c>
      <c r="T29" s="48" t="str">
        <f>IF('Mass Ion Calculations'!$Y29=TRUE,(IF(G29="","",'1st Deletion Fragment'!I29-'Mass Ion Calculations'!$D$5)),"-")</f>
        <v>-</v>
      </c>
      <c r="U29" s="48" t="str">
        <f>IF('Mass Ion Calculations'!$Y29=TRUE,(IF(H29="","",'1st Deletion Fragment'!J29-'Mass Ion Calculations'!$D$5)),"-")</f>
        <v>-</v>
      </c>
      <c r="V29" s="48" t="str">
        <f>IF('Mass Ion Calculations'!$Y29=TRUE,(IF(I29="","",'1st Deletion Fragment'!K29-'Mass Ion Calculations'!$D$5)),"-")</f>
        <v>-</v>
      </c>
      <c r="W29" s="2"/>
      <c r="X29">
        <f t="shared" si="10"/>
        <v>1</v>
      </c>
      <c r="Y29" s="3">
        <f t="shared" si="11"/>
        <v>1</v>
      </c>
      <c r="Z29" s="3">
        <f t="shared" si="12"/>
        <v>1</v>
      </c>
      <c r="AA29" s="3">
        <f t="shared" si="13"/>
        <v>1</v>
      </c>
      <c r="AB29" s="3">
        <f t="shared" si="14"/>
        <v>1</v>
      </c>
      <c r="AC29" s="3">
        <f t="shared" si="15"/>
        <v>1</v>
      </c>
      <c r="AD29" s="3">
        <f t="shared" si="16"/>
        <v>1</v>
      </c>
      <c r="AE29" s="3">
        <f t="shared" si="17"/>
        <v>1</v>
      </c>
      <c r="AF29" s="3">
        <f t="shared" si="18"/>
        <v>1</v>
      </c>
      <c r="AG29" s="3">
        <f t="shared" si="19"/>
        <v>1</v>
      </c>
      <c r="AH29" t="str">
        <f t="shared" si="20"/>
        <v/>
      </c>
    </row>
    <row r="30" spans="1:34" x14ac:dyDescent="0.25">
      <c r="A30" s="4" t="str">
        <f>IF('Mass Ion Calculations'!B30="","",'Mass Ion Calculations'!B30)</f>
        <v/>
      </c>
      <c r="B30" t="str">
        <f>IF(A30="","",IF('Mass Ion Calculations'!$D$6="Yes",IF('Mass Ion Calculations'!$D$7="Yes",'Mass Ion Calculations'!$D$18-'Mass Ion Calculations'!C30,'Mass Ion Calculations'!$F$18-'Mass Ion Calculations'!E30),IF('Mass Ion Calculations'!$D$7="Yes", 'Mass Ion Calculations'!$D$15-'Mass Ion Calculations'!C30,'Mass Ion Calculations'!$F$15-'Mass Ion Calculations'!E30)))</f>
        <v/>
      </c>
      <c r="C30" t="str">
        <f>IF(A30="","",B30+'AA Exact Masses'!Q$2)</f>
        <v/>
      </c>
      <c r="D30" t="str">
        <f>IF(A30="","",B30+'AA Exact Masses'!Q$3)</f>
        <v/>
      </c>
      <c r="E30" t="str">
        <f>IF(A30="","",(B30+2*'AA Exact Masses'!Q$2)/2)</f>
        <v/>
      </c>
      <c r="F30" t="str">
        <f>IF(A30="","",(B30+2*'AA Exact Masses'!Q$3)/2)</f>
        <v/>
      </c>
      <c r="G30" t="str">
        <f>IF(A30="","",(B30+'AA Exact Masses'!Q$2+'AA Exact Masses'!Q$3)/2)</f>
        <v/>
      </c>
      <c r="H30" t="str">
        <f>IF($A30="","",($B30+3*'AA Exact Masses'!$Q$2)/3)</f>
        <v/>
      </c>
      <c r="I30" t="str">
        <f>IF($A30="","",($B30+2*'AA Exact Masses'!$Q$2+'AA Exact Masses'!$Q$3)/3)</f>
        <v/>
      </c>
      <c r="J30" t="str">
        <f>IF($A30="","",($B30+'AA Exact Masses'!$Q$2+2*'AA Exact Masses'!$Q$3)/3)</f>
        <v/>
      </c>
      <c r="K30" t="str">
        <f>IF($A30="","",($B30+3*'AA Exact Masses'!$Q$3)/3)</f>
        <v/>
      </c>
      <c r="L30" s="1"/>
      <c r="M30" s="8" t="str">
        <f t="shared" si="0"/>
        <v/>
      </c>
      <c r="N30" s="48" t="str">
        <f>IF('Mass Ion Calculations'!$Y30=TRUE,(IF(A30="","",'1st Deletion Fragment'!C30-'Mass Ion Calculations'!$D$5)),"-")</f>
        <v>-</v>
      </c>
      <c r="O30" s="48" t="str">
        <f>IF('Mass Ion Calculations'!$Y30=TRUE,(IF(B30="","",'1st Deletion Fragment'!D30-'Mass Ion Calculations'!$D$5)),"-")</f>
        <v>-</v>
      </c>
      <c r="P30" s="48" t="str">
        <f>IF('Mass Ion Calculations'!$Y30=TRUE,(IF(C30="","",'1st Deletion Fragment'!E30-'Mass Ion Calculations'!$D$5)),"-")</f>
        <v>-</v>
      </c>
      <c r="Q30" s="48" t="str">
        <f>IF('Mass Ion Calculations'!$Y30=TRUE,(IF(D30="","",'1st Deletion Fragment'!F30-'Mass Ion Calculations'!$D$5)),"-")</f>
        <v>-</v>
      </c>
      <c r="R30" s="48" t="str">
        <f>IF('Mass Ion Calculations'!$Y30=TRUE,(IF(E30="","",'1st Deletion Fragment'!G30-'Mass Ion Calculations'!$D$5)),"-")</f>
        <v>-</v>
      </c>
      <c r="S30" s="48" t="str">
        <f>IF('Mass Ion Calculations'!$Y30=TRUE,(IF(F30="","",'1st Deletion Fragment'!H30-'Mass Ion Calculations'!$D$5)),"-")</f>
        <v>-</v>
      </c>
      <c r="T30" s="48" t="str">
        <f>IF('Mass Ion Calculations'!$Y30=TRUE,(IF(G30="","",'1st Deletion Fragment'!I30-'Mass Ion Calculations'!$D$5)),"-")</f>
        <v>-</v>
      </c>
      <c r="U30" s="48" t="str">
        <f>IF('Mass Ion Calculations'!$Y30=TRUE,(IF(H30="","",'1st Deletion Fragment'!J30-'Mass Ion Calculations'!$D$5)),"-")</f>
        <v>-</v>
      </c>
      <c r="V30" s="48" t="str">
        <f>IF('Mass Ion Calculations'!$Y30=TRUE,(IF(I30="","",'1st Deletion Fragment'!K30-'Mass Ion Calculations'!$D$5)),"-")</f>
        <v>-</v>
      </c>
      <c r="W30" s="2"/>
      <c r="X30">
        <f t="shared" si="10"/>
        <v>1</v>
      </c>
      <c r="Y30" s="3">
        <f t="shared" si="11"/>
        <v>1</v>
      </c>
      <c r="Z30" s="3">
        <f t="shared" si="12"/>
        <v>1</v>
      </c>
      <c r="AA30" s="3">
        <f t="shared" si="13"/>
        <v>1</v>
      </c>
      <c r="AB30" s="3">
        <f t="shared" si="14"/>
        <v>1</v>
      </c>
      <c r="AC30" s="3">
        <f t="shared" si="15"/>
        <v>1</v>
      </c>
      <c r="AD30" s="3">
        <f t="shared" si="16"/>
        <v>1</v>
      </c>
      <c r="AE30" s="3">
        <f t="shared" si="17"/>
        <v>1</v>
      </c>
      <c r="AF30" s="3">
        <f t="shared" si="18"/>
        <v>1</v>
      </c>
      <c r="AG30" s="3">
        <f t="shared" si="19"/>
        <v>1</v>
      </c>
      <c r="AH30" t="str">
        <f t="shared" si="20"/>
        <v/>
      </c>
    </row>
    <row r="31" spans="1:34" x14ac:dyDescent="0.25">
      <c r="A31" s="4" t="str">
        <f>IF('Mass Ion Calculations'!B31="","",'Mass Ion Calculations'!B31)</f>
        <v/>
      </c>
      <c r="B31" t="str">
        <f>IF(A31="","",IF('Mass Ion Calculations'!$D$6="Yes",IF('Mass Ion Calculations'!$D$7="Yes",'Mass Ion Calculations'!$D$18-'Mass Ion Calculations'!C31,'Mass Ion Calculations'!$F$18-'Mass Ion Calculations'!E31),IF('Mass Ion Calculations'!$D$7="Yes", 'Mass Ion Calculations'!$D$15-'Mass Ion Calculations'!C31,'Mass Ion Calculations'!$F$15-'Mass Ion Calculations'!E31)))</f>
        <v/>
      </c>
      <c r="C31" t="str">
        <f>IF(A31="","",B31+'AA Exact Masses'!Q$2)</f>
        <v/>
      </c>
      <c r="D31" t="str">
        <f>IF(A31="","",B31+'AA Exact Masses'!Q$3)</f>
        <v/>
      </c>
      <c r="E31" t="str">
        <f>IF(A31="","",(B31+2*'AA Exact Masses'!Q$2)/2)</f>
        <v/>
      </c>
      <c r="F31" t="str">
        <f>IF(A31="","",(B31+2*'AA Exact Masses'!Q$3)/2)</f>
        <v/>
      </c>
      <c r="G31" t="str">
        <f>IF(A31="","",(B31+'AA Exact Masses'!Q$2+'AA Exact Masses'!Q$3)/2)</f>
        <v/>
      </c>
      <c r="H31" t="str">
        <f>IF($A31="","",($B31+3*'AA Exact Masses'!$Q$2)/3)</f>
        <v/>
      </c>
      <c r="I31" t="str">
        <f>IF($A31="","",($B31+2*'AA Exact Masses'!$Q$2+'AA Exact Masses'!$Q$3)/3)</f>
        <v/>
      </c>
      <c r="J31" t="str">
        <f>IF($A31="","",($B31+'AA Exact Masses'!$Q$2+2*'AA Exact Masses'!$Q$3)/3)</f>
        <v/>
      </c>
      <c r="K31" t="str">
        <f>IF($A31="","",($B31+3*'AA Exact Masses'!$Q$3)/3)</f>
        <v/>
      </c>
      <c r="L31" s="1"/>
      <c r="M31" s="8" t="str">
        <f t="shared" si="0"/>
        <v/>
      </c>
      <c r="N31" s="48" t="str">
        <f>IF('Mass Ion Calculations'!$Y31=TRUE,(IF(A31="","",'1st Deletion Fragment'!C31-'Mass Ion Calculations'!$D$5)),"-")</f>
        <v>-</v>
      </c>
      <c r="O31" s="48" t="str">
        <f>IF('Mass Ion Calculations'!$Y31=TRUE,(IF(B31="","",'1st Deletion Fragment'!D31-'Mass Ion Calculations'!$D$5)),"-")</f>
        <v>-</v>
      </c>
      <c r="P31" s="48" t="str">
        <f>IF('Mass Ion Calculations'!$Y31=TRUE,(IF(C31="","",'1st Deletion Fragment'!E31-'Mass Ion Calculations'!$D$5)),"-")</f>
        <v>-</v>
      </c>
      <c r="Q31" s="48" t="str">
        <f>IF('Mass Ion Calculations'!$Y31=TRUE,(IF(D31="","",'1st Deletion Fragment'!F31-'Mass Ion Calculations'!$D$5)),"-")</f>
        <v>-</v>
      </c>
      <c r="R31" s="48" t="str">
        <f>IF('Mass Ion Calculations'!$Y31=TRUE,(IF(E31="","",'1st Deletion Fragment'!G31-'Mass Ion Calculations'!$D$5)),"-")</f>
        <v>-</v>
      </c>
      <c r="S31" s="48" t="str">
        <f>IF('Mass Ion Calculations'!$Y31=TRUE,(IF(F31="","",'1st Deletion Fragment'!H31-'Mass Ion Calculations'!$D$5)),"-")</f>
        <v>-</v>
      </c>
      <c r="T31" s="48" t="str">
        <f>IF('Mass Ion Calculations'!$Y31=TRUE,(IF(G31="","",'1st Deletion Fragment'!I31-'Mass Ion Calculations'!$D$5)),"-")</f>
        <v>-</v>
      </c>
      <c r="U31" s="48" t="str">
        <f>IF('Mass Ion Calculations'!$Y31=TRUE,(IF(H31="","",'1st Deletion Fragment'!J31-'Mass Ion Calculations'!$D$5)),"-")</f>
        <v>-</v>
      </c>
      <c r="V31" s="48" t="str">
        <f>IF('Mass Ion Calculations'!$Y31=TRUE,(IF(I31="","",'1st Deletion Fragment'!K31-'Mass Ion Calculations'!$D$5)),"-")</f>
        <v>-</v>
      </c>
      <c r="W31" s="2"/>
      <c r="X31">
        <f t="shared" si="10"/>
        <v>1</v>
      </c>
      <c r="Y31" s="3">
        <f t="shared" si="11"/>
        <v>1</v>
      </c>
      <c r="Z31" s="3">
        <f t="shared" si="12"/>
        <v>1</v>
      </c>
      <c r="AA31" s="3">
        <f t="shared" si="13"/>
        <v>1</v>
      </c>
      <c r="AB31" s="3">
        <f t="shared" si="14"/>
        <v>1</v>
      </c>
      <c r="AC31" s="3">
        <f t="shared" si="15"/>
        <v>1</v>
      </c>
      <c r="AD31" s="3">
        <f t="shared" si="16"/>
        <v>1</v>
      </c>
      <c r="AE31" s="3">
        <f t="shared" si="17"/>
        <v>1</v>
      </c>
      <c r="AF31" s="3">
        <f t="shared" si="18"/>
        <v>1</v>
      </c>
      <c r="AG31" s="3">
        <f t="shared" si="19"/>
        <v>1</v>
      </c>
      <c r="AH31" t="str">
        <f t="shared" si="20"/>
        <v/>
      </c>
    </row>
    <row r="32" spans="1:34" x14ac:dyDescent="0.25">
      <c r="A32" s="4" t="str">
        <f>IF('Mass Ion Calculations'!B32="","",'Mass Ion Calculations'!B32)</f>
        <v/>
      </c>
      <c r="B32" t="str">
        <f>IF(A32="","",IF('Mass Ion Calculations'!$D$6="Yes",IF('Mass Ion Calculations'!$D$7="Yes",'Mass Ion Calculations'!$D$18-'Mass Ion Calculations'!C32,'Mass Ion Calculations'!$F$18-'Mass Ion Calculations'!E32),IF('Mass Ion Calculations'!$D$7="Yes", 'Mass Ion Calculations'!$D$15-'Mass Ion Calculations'!C32,'Mass Ion Calculations'!$F$15-'Mass Ion Calculations'!E32)))</f>
        <v/>
      </c>
      <c r="C32" t="str">
        <f>IF(A32="","",B32+'AA Exact Masses'!Q$2)</f>
        <v/>
      </c>
      <c r="D32" t="str">
        <f>IF(A32="","",B32+'AA Exact Masses'!Q$3)</f>
        <v/>
      </c>
      <c r="E32" t="str">
        <f>IF(A32="","",(B32+2*'AA Exact Masses'!Q$2)/2)</f>
        <v/>
      </c>
      <c r="F32" t="str">
        <f>IF(A32="","",(B32+2*'AA Exact Masses'!Q$3)/2)</f>
        <v/>
      </c>
      <c r="G32" t="str">
        <f>IF(A32="","",(B32+'AA Exact Masses'!Q$2+'AA Exact Masses'!Q$3)/2)</f>
        <v/>
      </c>
      <c r="H32" t="str">
        <f>IF($A32="","",($B32+3*'AA Exact Masses'!$Q$2)/3)</f>
        <v/>
      </c>
      <c r="I32" t="str">
        <f>IF($A32="","",($B32+2*'AA Exact Masses'!$Q$2+'AA Exact Masses'!$Q$3)/3)</f>
        <v/>
      </c>
      <c r="J32" t="str">
        <f>IF($A32="","",($B32+'AA Exact Masses'!$Q$2+2*'AA Exact Masses'!$Q$3)/3)</f>
        <v/>
      </c>
      <c r="K32" t="str">
        <f>IF($A32="","",($B32+3*'AA Exact Masses'!$Q$3)/3)</f>
        <v/>
      </c>
      <c r="L32" s="1"/>
      <c r="M32" s="8" t="str">
        <f t="shared" si="0"/>
        <v/>
      </c>
      <c r="N32" s="48" t="str">
        <f>IF('Mass Ion Calculations'!$Y32=TRUE,(IF(A32="","",'1st Deletion Fragment'!C32-'Mass Ion Calculations'!$D$5)),"-")</f>
        <v>-</v>
      </c>
      <c r="O32" s="48" t="str">
        <f>IF('Mass Ion Calculations'!$Y32=TRUE,(IF(B32="","",'1st Deletion Fragment'!D32-'Mass Ion Calculations'!$D$5)),"-")</f>
        <v>-</v>
      </c>
      <c r="P32" s="48" t="str">
        <f>IF('Mass Ion Calculations'!$Y32=TRUE,(IF(C32="","",'1st Deletion Fragment'!E32-'Mass Ion Calculations'!$D$5)),"-")</f>
        <v>-</v>
      </c>
      <c r="Q32" s="48" t="str">
        <f>IF('Mass Ion Calculations'!$Y32=TRUE,(IF(D32="","",'1st Deletion Fragment'!F32-'Mass Ion Calculations'!$D$5)),"-")</f>
        <v>-</v>
      </c>
      <c r="R32" s="48" t="str">
        <f>IF('Mass Ion Calculations'!$Y32=TRUE,(IF(E32="","",'1st Deletion Fragment'!G32-'Mass Ion Calculations'!$D$5)),"-")</f>
        <v>-</v>
      </c>
      <c r="S32" s="48" t="str">
        <f>IF('Mass Ion Calculations'!$Y32=TRUE,(IF(F32="","",'1st Deletion Fragment'!H32-'Mass Ion Calculations'!$D$5)),"-")</f>
        <v>-</v>
      </c>
      <c r="T32" s="48" t="str">
        <f>IF('Mass Ion Calculations'!$Y32=TRUE,(IF(G32="","",'1st Deletion Fragment'!I32-'Mass Ion Calculations'!$D$5)),"-")</f>
        <v>-</v>
      </c>
      <c r="U32" s="48" t="str">
        <f>IF('Mass Ion Calculations'!$Y32=TRUE,(IF(H32="","",'1st Deletion Fragment'!J32-'Mass Ion Calculations'!$D$5)),"-")</f>
        <v>-</v>
      </c>
      <c r="V32" s="48" t="str">
        <f>IF('Mass Ion Calculations'!$Y32=TRUE,(IF(I32="","",'1st Deletion Fragment'!K32-'Mass Ion Calculations'!$D$5)),"-")</f>
        <v>-</v>
      </c>
      <c r="W32" s="2"/>
      <c r="X32">
        <f t="shared" si="10"/>
        <v>1</v>
      </c>
      <c r="Y32" s="3">
        <f t="shared" si="11"/>
        <v>1</v>
      </c>
      <c r="Z32" s="3">
        <f t="shared" si="12"/>
        <v>1</v>
      </c>
      <c r="AA32" s="3">
        <f t="shared" si="13"/>
        <v>1</v>
      </c>
      <c r="AB32" s="3">
        <f t="shared" si="14"/>
        <v>1</v>
      </c>
      <c r="AC32" s="3">
        <f t="shared" si="15"/>
        <v>1</v>
      </c>
      <c r="AD32" s="3">
        <f t="shared" si="16"/>
        <v>1</v>
      </c>
      <c r="AE32" s="3">
        <f t="shared" si="17"/>
        <v>1</v>
      </c>
      <c r="AF32" s="3">
        <f t="shared" si="18"/>
        <v>1</v>
      </c>
      <c r="AG32" s="3">
        <f t="shared" si="19"/>
        <v>1</v>
      </c>
      <c r="AH32" t="str">
        <f t="shared" si="20"/>
        <v/>
      </c>
    </row>
    <row r="33" spans="1:34" x14ac:dyDescent="0.25">
      <c r="A33" s="4" t="str">
        <f>IF('Mass Ion Calculations'!B33="","",'Mass Ion Calculations'!B33)</f>
        <v/>
      </c>
      <c r="B33" t="str">
        <f>IF(A33="","",IF('Mass Ion Calculations'!$D$6="Yes",IF('Mass Ion Calculations'!$D$7="Yes",'Mass Ion Calculations'!$D$18-'Mass Ion Calculations'!C33,'Mass Ion Calculations'!$F$18-'Mass Ion Calculations'!E33),IF('Mass Ion Calculations'!$D$7="Yes", 'Mass Ion Calculations'!$D$15-'Mass Ion Calculations'!C33,'Mass Ion Calculations'!$F$15-'Mass Ion Calculations'!E33)))</f>
        <v/>
      </c>
      <c r="C33" t="str">
        <f>IF(A33="","",B33+'AA Exact Masses'!Q$2)</f>
        <v/>
      </c>
      <c r="D33" t="str">
        <f>IF(A33="","",B33+'AA Exact Masses'!Q$3)</f>
        <v/>
      </c>
      <c r="E33" t="str">
        <f>IF(A33="","",(B33+2*'AA Exact Masses'!Q$2)/2)</f>
        <v/>
      </c>
      <c r="F33" t="str">
        <f>IF(A33="","",(B33+2*'AA Exact Masses'!Q$3)/2)</f>
        <v/>
      </c>
      <c r="G33" t="str">
        <f>IF(A33="","",(B33+'AA Exact Masses'!Q$2+'AA Exact Masses'!Q$3)/2)</f>
        <v/>
      </c>
      <c r="H33" t="str">
        <f>IF($A33="","",($B33+3*'AA Exact Masses'!$Q$2)/3)</f>
        <v/>
      </c>
      <c r="I33" t="str">
        <f>IF($A33="","",($B33+2*'AA Exact Masses'!$Q$2+'AA Exact Masses'!$Q$3)/3)</f>
        <v/>
      </c>
      <c r="J33" t="str">
        <f>IF($A33="","",($B33+'AA Exact Masses'!$Q$2+2*'AA Exact Masses'!$Q$3)/3)</f>
        <v/>
      </c>
      <c r="K33" t="str">
        <f>IF($A33="","",($B33+3*'AA Exact Masses'!$Q$3)/3)</f>
        <v/>
      </c>
      <c r="L33" s="1"/>
      <c r="M33" s="8" t="str">
        <f t="shared" si="0"/>
        <v/>
      </c>
      <c r="N33" s="48" t="str">
        <f>IF('Mass Ion Calculations'!$Y33=TRUE,(IF(A33="","",'1st Deletion Fragment'!C33-'Mass Ion Calculations'!$D$5)),"-")</f>
        <v>-</v>
      </c>
      <c r="O33" s="48" t="str">
        <f>IF('Mass Ion Calculations'!$Y33=TRUE,(IF(B33="","",'1st Deletion Fragment'!D33-'Mass Ion Calculations'!$D$5)),"-")</f>
        <v>-</v>
      </c>
      <c r="P33" s="48" t="str">
        <f>IF('Mass Ion Calculations'!$Y33=TRUE,(IF(C33="","",'1st Deletion Fragment'!E33-'Mass Ion Calculations'!$D$5)),"-")</f>
        <v>-</v>
      </c>
      <c r="Q33" s="48" t="str">
        <f>IF('Mass Ion Calculations'!$Y33=TRUE,(IF(D33="","",'1st Deletion Fragment'!F33-'Mass Ion Calculations'!$D$5)),"-")</f>
        <v>-</v>
      </c>
      <c r="R33" s="48" t="str">
        <f>IF('Mass Ion Calculations'!$Y33=TRUE,(IF(E33="","",'1st Deletion Fragment'!G33-'Mass Ion Calculations'!$D$5)),"-")</f>
        <v>-</v>
      </c>
      <c r="S33" s="48" t="str">
        <f>IF('Mass Ion Calculations'!$Y33=TRUE,(IF(F33="","",'1st Deletion Fragment'!H33-'Mass Ion Calculations'!$D$5)),"-")</f>
        <v>-</v>
      </c>
      <c r="T33" s="48" t="str">
        <f>IF('Mass Ion Calculations'!$Y33=TRUE,(IF(G33="","",'1st Deletion Fragment'!I33-'Mass Ion Calculations'!$D$5)),"-")</f>
        <v>-</v>
      </c>
      <c r="U33" s="48" t="str">
        <f>IF('Mass Ion Calculations'!$Y33=TRUE,(IF(H33="","",'1st Deletion Fragment'!J33-'Mass Ion Calculations'!$D$5)),"-")</f>
        <v>-</v>
      </c>
      <c r="V33" s="48" t="str">
        <f>IF('Mass Ion Calculations'!$Y33=TRUE,(IF(I33="","",'1st Deletion Fragment'!K33-'Mass Ion Calculations'!$D$5)),"-")</f>
        <v>-</v>
      </c>
      <c r="W33" s="2"/>
      <c r="X33">
        <f t="shared" si="10"/>
        <v>1</v>
      </c>
      <c r="Y33" s="3">
        <f t="shared" si="11"/>
        <v>1</v>
      </c>
      <c r="Z33" s="3">
        <f t="shared" si="12"/>
        <v>1</v>
      </c>
      <c r="AA33" s="3">
        <f t="shared" si="13"/>
        <v>1</v>
      </c>
      <c r="AB33" s="3">
        <f t="shared" si="14"/>
        <v>1</v>
      </c>
      <c r="AC33" s="3">
        <f t="shared" si="15"/>
        <v>1</v>
      </c>
      <c r="AD33" s="3">
        <f t="shared" si="16"/>
        <v>1</v>
      </c>
      <c r="AE33" s="3">
        <f t="shared" si="17"/>
        <v>1</v>
      </c>
      <c r="AF33" s="3">
        <f t="shared" si="18"/>
        <v>1</v>
      </c>
      <c r="AG33" s="3">
        <f t="shared" si="19"/>
        <v>1</v>
      </c>
      <c r="AH33" t="str">
        <f t="shared" si="20"/>
        <v/>
      </c>
    </row>
    <row r="34" spans="1:34" x14ac:dyDescent="0.25">
      <c r="A34" s="4" t="str">
        <f>IF('Mass Ion Calculations'!B34="","",'Mass Ion Calculations'!B34)</f>
        <v/>
      </c>
      <c r="B34" t="str">
        <f>IF(A34="","",IF('Mass Ion Calculations'!$D$6="Yes",IF('Mass Ion Calculations'!$D$7="Yes",'Mass Ion Calculations'!$D$18-'Mass Ion Calculations'!C34,'Mass Ion Calculations'!$F$18-'Mass Ion Calculations'!E34),IF('Mass Ion Calculations'!$D$7="Yes", 'Mass Ion Calculations'!$D$15-'Mass Ion Calculations'!C34,'Mass Ion Calculations'!$F$15-'Mass Ion Calculations'!E34)))</f>
        <v/>
      </c>
      <c r="C34" t="str">
        <f>IF(A34="","",B34+'AA Exact Masses'!Q$2)</f>
        <v/>
      </c>
      <c r="D34" t="str">
        <f>IF(A34="","",B34+'AA Exact Masses'!Q$3)</f>
        <v/>
      </c>
      <c r="E34" t="str">
        <f>IF(A34="","",(B34+2*'AA Exact Masses'!Q$2)/2)</f>
        <v/>
      </c>
      <c r="F34" t="str">
        <f>IF(A34="","",(B34+2*'AA Exact Masses'!Q$3)/2)</f>
        <v/>
      </c>
      <c r="G34" t="str">
        <f>IF(A34="","",(B34+'AA Exact Masses'!Q$2+'AA Exact Masses'!Q$3)/2)</f>
        <v/>
      </c>
      <c r="H34" t="str">
        <f>IF($A34="","",($B34+3*'AA Exact Masses'!$Q$2)/3)</f>
        <v/>
      </c>
      <c r="I34" t="str">
        <f>IF($A34="","",($B34+2*'AA Exact Masses'!$Q$2+'AA Exact Masses'!$Q$3)/3)</f>
        <v/>
      </c>
      <c r="J34" t="str">
        <f>IF($A34="","",($B34+'AA Exact Masses'!$Q$2+2*'AA Exact Masses'!$Q$3)/3)</f>
        <v/>
      </c>
      <c r="K34" t="str">
        <f>IF($A34="","",($B34+3*'AA Exact Masses'!$Q$3)/3)</f>
        <v/>
      </c>
      <c r="L34" s="1"/>
      <c r="M34" s="8" t="str">
        <f t="shared" si="0"/>
        <v/>
      </c>
      <c r="N34" s="48" t="str">
        <f>IF('Mass Ion Calculations'!$Y34=TRUE,(IF(A34="","",'1st Deletion Fragment'!C34-'Mass Ion Calculations'!$D$5)),"-")</f>
        <v>-</v>
      </c>
      <c r="O34" s="48" t="str">
        <f>IF('Mass Ion Calculations'!$Y34=TRUE,(IF(B34="","",'1st Deletion Fragment'!D34-'Mass Ion Calculations'!$D$5)),"-")</f>
        <v>-</v>
      </c>
      <c r="P34" s="48" t="str">
        <f>IF('Mass Ion Calculations'!$Y34=TRUE,(IF(C34="","",'1st Deletion Fragment'!E34-'Mass Ion Calculations'!$D$5)),"-")</f>
        <v>-</v>
      </c>
      <c r="Q34" s="48" t="str">
        <f>IF('Mass Ion Calculations'!$Y34=TRUE,(IF(D34="","",'1st Deletion Fragment'!F34-'Mass Ion Calculations'!$D$5)),"-")</f>
        <v>-</v>
      </c>
      <c r="R34" s="48" t="str">
        <f>IF('Mass Ion Calculations'!$Y34=TRUE,(IF(E34="","",'1st Deletion Fragment'!G34-'Mass Ion Calculations'!$D$5)),"-")</f>
        <v>-</v>
      </c>
      <c r="S34" s="48" t="str">
        <f>IF('Mass Ion Calculations'!$Y34=TRUE,(IF(F34="","",'1st Deletion Fragment'!H34-'Mass Ion Calculations'!$D$5)),"-")</f>
        <v>-</v>
      </c>
      <c r="T34" s="48" t="str">
        <f>IF('Mass Ion Calculations'!$Y34=TRUE,(IF(G34="","",'1st Deletion Fragment'!I34-'Mass Ion Calculations'!$D$5)),"-")</f>
        <v>-</v>
      </c>
      <c r="U34" s="48" t="str">
        <f>IF('Mass Ion Calculations'!$Y34=TRUE,(IF(H34="","",'1st Deletion Fragment'!J34-'Mass Ion Calculations'!$D$5)),"-")</f>
        <v>-</v>
      </c>
      <c r="V34" s="48" t="str">
        <f>IF('Mass Ion Calculations'!$Y34=TRUE,(IF(I34="","",'1st Deletion Fragment'!K34-'Mass Ion Calculations'!$D$5)),"-")</f>
        <v>-</v>
      </c>
      <c r="W34" s="2"/>
      <c r="X34">
        <f t="shared" si="10"/>
        <v>1</v>
      </c>
      <c r="Y34" s="3">
        <f t="shared" si="11"/>
        <v>1</v>
      </c>
      <c r="Z34" s="3">
        <f t="shared" si="12"/>
        <v>1</v>
      </c>
      <c r="AA34" s="3">
        <f t="shared" si="13"/>
        <v>1</v>
      </c>
      <c r="AB34" s="3">
        <f t="shared" si="14"/>
        <v>1</v>
      </c>
      <c r="AC34" s="3">
        <f t="shared" si="15"/>
        <v>1</v>
      </c>
      <c r="AD34" s="3">
        <f t="shared" si="16"/>
        <v>1</v>
      </c>
      <c r="AE34" s="3">
        <f t="shared" si="17"/>
        <v>1</v>
      </c>
      <c r="AF34" s="3">
        <f t="shared" si="18"/>
        <v>1</v>
      </c>
      <c r="AG34" s="3">
        <f t="shared" si="19"/>
        <v>1</v>
      </c>
      <c r="AH34" t="str">
        <f t="shared" si="20"/>
        <v/>
      </c>
    </row>
    <row r="35" spans="1:34" x14ac:dyDescent="0.25">
      <c r="A35" s="4" t="str">
        <f>IF('Mass Ion Calculations'!B35="","",'Mass Ion Calculations'!B35)</f>
        <v/>
      </c>
      <c r="B35" t="str">
        <f>IF(A35="","",IF('Mass Ion Calculations'!$D$6="Yes",IF('Mass Ion Calculations'!$D$7="Yes",'Mass Ion Calculations'!$D$18-'Mass Ion Calculations'!C35,'Mass Ion Calculations'!$F$18-'Mass Ion Calculations'!E35),IF('Mass Ion Calculations'!$D$7="Yes", 'Mass Ion Calculations'!$D$15-'Mass Ion Calculations'!C35,'Mass Ion Calculations'!$F$15-'Mass Ion Calculations'!E35)))</f>
        <v/>
      </c>
      <c r="C35" t="str">
        <f>IF(A35="","",B35+'AA Exact Masses'!Q$2)</f>
        <v/>
      </c>
      <c r="D35" t="str">
        <f>IF(A35="","",B35+'AA Exact Masses'!Q$3)</f>
        <v/>
      </c>
      <c r="E35" t="str">
        <f>IF(A35="","",(B35+2*'AA Exact Masses'!Q$2)/2)</f>
        <v/>
      </c>
      <c r="F35" t="str">
        <f>IF(A35="","",(B35+2*'AA Exact Masses'!Q$3)/2)</f>
        <v/>
      </c>
      <c r="G35" t="str">
        <f>IF(A35="","",(B35+'AA Exact Masses'!Q$2+'AA Exact Masses'!Q$3)/2)</f>
        <v/>
      </c>
      <c r="H35" t="str">
        <f>IF($A35="","",($B35+3*'AA Exact Masses'!$Q$2)/3)</f>
        <v/>
      </c>
      <c r="I35" t="str">
        <f>IF($A35="","",($B35+2*'AA Exact Masses'!$Q$2+'AA Exact Masses'!$Q$3)/3)</f>
        <v/>
      </c>
      <c r="J35" t="str">
        <f>IF($A35="","",($B35+'AA Exact Masses'!$Q$2+2*'AA Exact Masses'!$Q$3)/3)</f>
        <v/>
      </c>
      <c r="K35" t="str">
        <f>IF($A35="","",($B35+3*'AA Exact Masses'!$Q$3)/3)</f>
        <v/>
      </c>
      <c r="L35" s="1"/>
      <c r="M35" s="8" t="str">
        <f t="shared" si="0"/>
        <v/>
      </c>
      <c r="N35" s="48" t="str">
        <f>IF('Mass Ion Calculations'!$Y35=TRUE,(IF(A35="","",'1st Deletion Fragment'!C35-'Mass Ion Calculations'!$D$5)),"-")</f>
        <v>-</v>
      </c>
      <c r="O35" s="48" t="str">
        <f>IF('Mass Ion Calculations'!$Y35=TRUE,(IF(B35="","",'1st Deletion Fragment'!D35-'Mass Ion Calculations'!$D$5)),"-")</f>
        <v>-</v>
      </c>
      <c r="P35" s="48" t="str">
        <f>IF('Mass Ion Calculations'!$Y35=TRUE,(IF(C35="","",'1st Deletion Fragment'!E35-'Mass Ion Calculations'!$D$5)),"-")</f>
        <v>-</v>
      </c>
      <c r="Q35" s="48" t="str">
        <f>IF('Mass Ion Calculations'!$Y35=TRUE,(IF(D35="","",'1st Deletion Fragment'!F35-'Mass Ion Calculations'!$D$5)),"-")</f>
        <v>-</v>
      </c>
      <c r="R35" s="48" t="str">
        <f>IF('Mass Ion Calculations'!$Y35=TRUE,(IF(E35="","",'1st Deletion Fragment'!G35-'Mass Ion Calculations'!$D$5)),"-")</f>
        <v>-</v>
      </c>
      <c r="S35" s="48" t="str">
        <f>IF('Mass Ion Calculations'!$Y35=TRUE,(IF(F35="","",'1st Deletion Fragment'!H35-'Mass Ion Calculations'!$D$5)),"-")</f>
        <v>-</v>
      </c>
      <c r="T35" s="48" t="str">
        <f>IF('Mass Ion Calculations'!$Y35=TRUE,(IF(G35="","",'1st Deletion Fragment'!I35-'Mass Ion Calculations'!$D$5)),"-")</f>
        <v>-</v>
      </c>
      <c r="U35" s="48" t="str">
        <f>IF('Mass Ion Calculations'!$Y35=TRUE,(IF(H35="","",'1st Deletion Fragment'!J35-'Mass Ion Calculations'!$D$5)),"-")</f>
        <v>-</v>
      </c>
      <c r="V35" s="48" t="str">
        <f>IF('Mass Ion Calculations'!$Y35=TRUE,(IF(I35="","",'1st Deletion Fragment'!K35-'Mass Ion Calculations'!$D$5)),"-")</f>
        <v>-</v>
      </c>
      <c r="W35" s="2"/>
      <c r="X35">
        <f t="shared" si="10"/>
        <v>1</v>
      </c>
      <c r="Y35" s="3">
        <f t="shared" si="11"/>
        <v>1</v>
      </c>
      <c r="Z35" s="3">
        <f t="shared" si="12"/>
        <v>1</v>
      </c>
      <c r="AA35" s="3">
        <f t="shared" si="13"/>
        <v>1</v>
      </c>
      <c r="AB35" s="3">
        <f t="shared" si="14"/>
        <v>1</v>
      </c>
      <c r="AC35" s="3">
        <f t="shared" si="15"/>
        <v>1</v>
      </c>
      <c r="AD35" s="3">
        <f t="shared" si="16"/>
        <v>1</v>
      </c>
      <c r="AE35" s="3">
        <f t="shared" si="17"/>
        <v>1</v>
      </c>
      <c r="AF35" s="3">
        <f t="shared" si="18"/>
        <v>1</v>
      </c>
      <c r="AG35" s="3">
        <f t="shared" si="19"/>
        <v>1</v>
      </c>
      <c r="AH35" t="str">
        <f t="shared" si="20"/>
        <v/>
      </c>
    </row>
    <row r="36" spans="1:34" x14ac:dyDescent="0.25">
      <c r="A36" s="4" t="str">
        <f>IF('Mass Ion Calculations'!B36="","",'Mass Ion Calculations'!B36)</f>
        <v/>
      </c>
      <c r="B36" t="str">
        <f>IF(A36="","",IF('Mass Ion Calculations'!$D$6="Yes",IF('Mass Ion Calculations'!$D$7="Yes",'Mass Ion Calculations'!$D$18-'Mass Ion Calculations'!C36,'Mass Ion Calculations'!$F$18-'Mass Ion Calculations'!E36),IF('Mass Ion Calculations'!$D$7="Yes", 'Mass Ion Calculations'!$D$15-'Mass Ion Calculations'!C36,'Mass Ion Calculations'!$F$15-'Mass Ion Calculations'!E36)))</f>
        <v/>
      </c>
      <c r="C36" t="str">
        <f>IF(A36="","",B36+'AA Exact Masses'!Q$2)</f>
        <v/>
      </c>
      <c r="D36" t="str">
        <f>IF(A36="","",B36+'AA Exact Masses'!Q$3)</f>
        <v/>
      </c>
      <c r="E36" t="str">
        <f>IF(A36="","",(B36+2*'AA Exact Masses'!Q$2)/2)</f>
        <v/>
      </c>
      <c r="F36" t="str">
        <f>IF(A36="","",(B36+2*'AA Exact Masses'!Q$3)/2)</f>
        <v/>
      </c>
      <c r="G36" t="str">
        <f>IF(A36="","",(B36+'AA Exact Masses'!Q$2+'AA Exact Masses'!Q$3)/2)</f>
        <v/>
      </c>
      <c r="H36" t="str">
        <f>IF($A36="","",($B36+3*'AA Exact Masses'!$Q$2)/3)</f>
        <v/>
      </c>
      <c r="I36" t="str">
        <f>IF($A36="","",($B36+2*'AA Exact Masses'!$Q$2+'AA Exact Masses'!$Q$3)/3)</f>
        <v/>
      </c>
      <c r="J36" t="str">
        <f>IF($A36="","",($B36+'AA Exact Masses'!$Q$2+2*'AA Exact Masses'!$Q$3)/3)</f>
        <v/>
      </c>
      <c r="K36" t="str">
        <f>IF($A36="","",($B36+3*'AA Exact Masses'!$Q$3)/3)</f>
        <v/>
      </c>
      <c r="L36" s="1"/>
      <c r="M36" s="8" t="str">
        <f t="shared" si="0"/>
        <v/>
      </c>
      <c r="N36" s="48" t="str">
        <f>IF('Mass Ion Calculations'!$Y36=TRUE,(IF(A36="","",'1st Deletion Fragment'!C36-'Mass Ion Calculations'!$D$5)),"-")</f>
        <v>-</v>
      </c>
      <c r="O36" s="48" t="str">
        <f>IF('Mass Ion Calculations'!$Y36=TRUE,(IF(B36="","",'1st Deletion Fragment'!D36-'Mass Ion Calculations'!$D$5)),"-")</f>
        <v>-</v>
      </c>
      <c r="P36" s="48" t="str">
        <f>IF('Mass Ion Calculations'!$Y36=TRUE,(IF(C36="","",'1st Deletion Fragment'!E36-'Mass Ion Calculations'!$D$5)),"-")</f>
        <v>-</v>
      </c>
      <c r="Q36" s="48" t="str">
        <f>IF('Mass Ion Calculations'!$Y36=TRUE,(IF(D36="","",'1st Deletion Fragment'!F36-'Mass Ion Calculations'!$D$5)),"-")</f>
        <v>-</v>
      </c>
      <c r="R36" s="48" t="str">
        <f>IF('Mass Ion Calculations'!$Y36=TRUE,(IF(E36="","",'1st Deletion Fragment'!G36-'Mass Ion Calculations'!$D$5)),"-")</f>
        <v>-</v>
      </c>
      <c r="S36" s="48" t="str">
        <f>IF('Mass Ion Calculations'!$Y36=TRUE,(IF(F36="","",'1st Deletion Fragment'!H36-'Mass Ion Calculations'!$D$5)),"-")</f>
        <v>-</v>
      </c>
      <c r="T36" s="48" t="str">
        <f>IF('Mass Ion Calculations'!$Y36=TRUE,(IF(G36="","",'1st Deletion Fragment'!I36-'Mass Ion Calculations'!$D$5)),"-")</f>
        <v>-</v>
      </c>
      <c r="U36" s="48" t="str">
        <f>IF('Mass Ion Calculations'!$Y36=TRUE,(IF(H36="","",'1st Deletion Fragment'!J36-'Mass Ion Calculations'!$D$5)),"-")</f>
        <v>-</v>
      </c>
      <c r="V36" s="48" t="str">
        <f>IF('Mass Ion Calculations'!$Y36=TRUE,(IF(I36="","",'1st Deletion Fragment'!K36-'Mass Ion Calculations'!$D$5)),"-")</f>
        <v>-</v>
      </c>
      <c r="W36" s="2"/>
      <c r="X36">
        <f t="shared" si="10"/>
        <v>1</v>
      </c>
      <c r="Y36" s="3">
        <f t="shared" si="11"/>
        <v>1</v>
      </c>
      <c r="Z36" s="3">
        <f t="shared" si="12"/>
        <v>1</v>
      </c>
      <c r="AA36" s="3">
        <f t="shared" si="13"/>
        <v>1</v>
      </c>
      <c r="AB36" s="3">
        <f t="shared" si="14"/>
        <v>1</v>
      </c>
      <c r="AC36" s="3">
        <f t="shared" si="15"/>
        <v>1</v>
      </c>
      <c r="AD36" s="3">
        <f t="shared" si="16"/>
        <v>1</v>
      </c>
      <c r="AE36" s="3">
        <f t="shared" si="17"/>
        <v>1</v>
      </c>
      <c r="AF36" s="3">
        <f t="shared" si="18"/>
        <v>1</v>
      </c>
      <c r="AG36" s="3">
        <f t="shared" si="19"/>
        <v>1</v>
      </c>
      <c r="AH36" t="str">
        <f t="shared" si="20"/>
        <v/>
      </c>
    </row>
    <row r="37" spans="1:34" x14ac:dyDescent="0.25">
      <c r="A37" s="4" t="str">
        <f>IF('Mass Ion Calculations'!B37="","",'Mass Ion Calculations'!B37)</f>
        <v/>
      </c>
      <c r="B37" t="str">
        <f>IF(A37="","",IF('Mass Ion Calculations'!$D$6="Yes",IF('Mass Ion Calculations'!$D$7="Yes",'Mass Ion Calculations'!$D$18-'Mass Ion Calculations'!C37,'Mass Ion Calculations'!$F$18-'Mass Ion Calculations'!E37),IF('Mass Ion Calculations'!$D$7="Yes", 'Mass Ion Calculations'!$D$15-'Mass Ion Calculations'!C37,'Mass Ion Calculations'!$F$15-'Mass Ion Calculations'!E37)))</f>
        <v/>
      </c>
      <c r="C37" t="str">
        <f>IF(A37="","",B37+'AA Exact Masses'!Q$2)</f>
        <v/>
      </c>
      <c r="D37" t="str">
        <f>IF(A37="","",B37+'AA Exact Masses'!Q$3)</f>
        <v/>
      </c>
      <c r="E37" t="str">
        <f>IF(A37="","",(B37+2*'AA Exact Masses'!Q$2)/2)</f>
        <v/>
      </c>
      <c r="F37" t="str">
        <f>IF(A37="","",(B37+2*'AA Exact Masses'!Q$3)/2)</f>
        <v/>
      </c>
      <c r="G37" t="str">
        <f>IF(A37="","",(B37+'AA Exact Masses'!Q$2+'AA Exact Masses'!Q$3)/2)</f>
        <v/>
      </c>
      <c r="H37" t="str">
        <f>IF($A37="","",($B37+3*'AA Exact Masses'!$Q$2)/3)</f>
        <v/>
      </c>
      <c r="I37" t="str">
        <f>IF($A37="","",($B37+2*'AA Exact Masses'!$Q$2+'AA Exact Masses'!$Q$3)/3)</f>
        <v/>
      </c>
      <c r="J37" t="str">
        <f>IF($A37="","",($B37+'AA Exact Masses'!$Q$2+2*'AA Exact Masses'!$Q$3)/3)</f>
        <v/>
      </c>
      <c r="K37" t="str">
        <f>IF($A37="","",($B37+3*'AA Exact Masses'!$Q$3)/3)</f>
        <v/>
      </c>
      <c r="L37" s="1"/>
      <c r="M37" s="8" t="str">
        <f t="shared" ref="M37:M53" si="21">A37</f>
        <v/>
      </c>
      <c r="N37" s="48" t="str">
        <f>IF('Mass Ion Calculations'!$Y37=TRUE,(IF(A37="","",'1st Deletion Fragment'!C37-'Mass Ion Calculations'!$D$5)),"-")</f>
        <v>-</v>
      </c>
      <c r="O37" s="48" t="str">
        <f>IF('Mass Ion Calculations'!$Y37=TRUE,(IF(B37="","",'1st Deletion Fragment'!D37-'Mass Ion Calculations'!$D$5)),"-")</f>
        <v>-</v>
      </c>
      <c r="P37" s="48" t="str">
        <f>IF('Mass Ion Calculations'!$Y37=TRUE,(IF(C37="","",'1st Deletion Fragment'!E37-'Mass Ion Calculations'!$D$5)),"-")</f>
        <v>-</v>
      </c>
      <c r="Q37" s="48" t="str">
        <f>IF('Mass Ion Calculations'!$Y37=TRUE,(IF(D37="","",'1st Deletion Fragment'!F37-'Mass Ion Calculations'!$D$5)),"-")</f>
        <v>-</v>
      </c>
      <c r="R37" s="48" t="str">
        <f>IF('Mass Ion Calculations'!$Y37=TRUE,(IF(E37="","",'1st Deletion Fragment'!G37-'Mass Ion Calculations'!$D$5)),"-")</f>
        <v>-</v>
      </c>
      <c r="S37" s="48" t="str">
        <f>IF('Mass Ion Calculations'!$Y37=TRUE,(IF(F37="","",'1st Deletion Fragment'!H37-'Mass Ion Calculations'!$D$5)),"-")</f>
        <v>-</v>
      </c>
      <c r="T37" s="48" t="str">
        <f>IF('Mass Ion Calculations'!$Y37=TRUE,(IF(G37="","",'1st Deletion Fragment'!I37-'Mass Ion Calculations'!$D$5)),"-")</f>
        <v>-</v>
      </c>
      <c r="U37" s="48" t="str">
        <f>IF('Mass Ion Calculations'!$Y37=TRUE,(IF(H37="","",'1st Deletion Fragment'!J37-'Mass Ion Calculations'!$D$5)),"-")</f>
        <v>-</v>
      </c>
      <c r="V37" s="48" t="str">
        <f>IF('Mass Ion Calculations'!$Y37=TRUE,(IF(I37="","",'1st Deletion Fragment'!K37-'Mass Ion Calculations'!$D$5)),"-")</f>
        <v>-</v>
      </c>
      <c r="W37" s="2"/>
      <c r="X37">
        <f t="shared" si="10"/>
        <v>1</v>
      </c>
      <c r="Y37" s="3">
        <f t="shared" si="11"/>
        <v>1</v>
      </c>
      <c r="Z37" s="3">
        <f t="shared" si="12"/>
        <v>1</v>
      </c>
      <c r="AA37" s="3">
        <f t="shared" si="13"/>
        <v>1</v>
      </c>
      <c r="AB37" s="3">
        <f t="shared" si="14"/>
        <v>1</v>
      </c>
      <c r="AC37" s="3">
        <f t="shared" si="15"/>
        <v>1</v>
      </c>
      <c r="AD37" s="3">
        <f t="shared" si="16"/>
        <v>1</v>
      </c>
      <c r="AE37" s="3">
        <f t="shared" si="17"/>
        <v>1</v>
      </c>
      <c r="AF37" s="3">
        <f t="shared" si="18"/>
        <v>1</v>
      </c>
      <c r="AG37" s="3">
        <f t="shared" si="19"/>
        <v>1</v>
      </c>
      <c r="AH37" t="str">
        <f t="shared" si="20"/>
        <v/>
      </c>
    </row>
    <row r="38" spans="1:34" x14ac:dyDescent="0.25">
      <c r="A38" s="4" t="str">
        <f>IF('Mass Ion Calculations'!B38="","",'Mass Ion Calculations'!B38)</f>
        <v/>
      </c>
      <c r="B38" t="str">
        <f>IF(A38="","",IF('Mass Ion Calculations'!$D$6="Yes",IF('Mass Ion Calculations'!$D$7="Yes",'Mass Ion Calculations'!$D$18-'Mass Ion Calculations'!C38,'Mass Ion Calculations'!$F$18-'Mass Ion Calculations'!E38),IF('Mass Ion Calculations'!$D$7="Yes", 'Mass Ion Calculations'!$D$15-'Mass Ion Calculations'!C38,'Mass Ion Calculations'!$F$15-'Mass Ion Calculations'!E38)))</f>
        <v/>
      </c>
      <c r="C38" t="str">
        <f>IF(A38="","",B38+'AA Exact Masses'!Q$2)</f>
        <v/>
      </c>
      <c r="D38" t="str">
        <f>IF(A38="","",B38+'AA Exact Masses'!Q$3)</f>
        <v/>
      </c>
      <c r="E38" t="str">
        <f>IF(A38="","",(B38+2*'AA Exact Masses'!Q$2)/2)</f>
        <v/>
      </c>
      <c r="F38" t="str">
        <f>IF(A38="","",(B38+2*'AA Exact Masses'!Q$3)/2)</f>
        <v/>
      </c>
      <c r="G38" t="str">
        <f>IF(A38="","",(B38+'AA Exact Masses'!Q$2+'AA Exact Masses'!Q$3)/2)</f>
        <v/>
      </c>
      <c r="H38" t="str">
        <f>IF($A38="","",($B38+3*'AA Exact Masses'!$Q$2)/3)</f>
        <v/>
      </c>
      <c r="I38" t="str">
        <f>IF($A38="","",($B38+2*'AA Exact Masses'!$Q$2+'AA Exact Masses'!$Q$3)/3)</f>
        <v/>
      </c>
      <c r="J38" t="str">
        <f>IF($A38="","",($B38+'AA Exact Masses'!$Q$2+2*'AA Exact Masses'!$Q$3)/3)</f>
        <v/>
      </c>
      <c r="K38" t="str">
        <f>IF($A38="","",($B38+3*'AA Exact Masses'!$Q$3)/3)</f>
        <v/>
      </c>
      <c r="L38" s="1"/>
      <c r="M38" s="8" t="str">
        <f t="shared" si="21"/>
        <v/>
      </c>
      <c r="N38" s="48" t="str">
        <f>IF('Mass Ion Calculations'!$Y38=TRUE,(IF(A38="","",'1st Deletion Fragment'!C38-'Mass Ion Calculations'!$D$5)),"-")</f>
        <v>-</v>
      </c>
      <c r="O38" s="48" t="str">
        <f>IF('Mass Ion Calculations'!$Y38=TRUE,(IF(B38="","",'1st Deletion Fragment'!D38-'Mass Ion Calculations'!$D$5)),"-")</f>
        <v>-</v>
      </c>
      <c r="P38" s="48" t="str">
        <f>IF('Mass Ion Calculations'!$Y38=TRUE,(IF(C38="","",'1st Deletion Fragment'!E38-'Mass Ion Calculations'!$D$5)),"-")</f>
        <v>-</v>
      </c>
      <c r="Q38" s="48" t="str">
        <f>IF('Mass Ion Calculations'!$Y38=TRUE,(IF(D38="","",'1st Deletion Fragment'!F38-'Mass Ion Calculations'!$D$5)),"-")</f>
        <v>-</v>
      </c>
      <c r="R38" s="48" t="str">
        <f>IF('Mass Ion Calculations'!$Y38=TRUE,(IF(E38="","",'1st Deletion Fragment'!G38-'Mass Ion Calculations'!$D$5)),"-")</f>
        <v>-</v>
      </c>
      <c r="S38" s="48" t="str">
        <f>IF('Mass Ion Calculations'!$Y38=TRUE,(IF(F38="","",'1st Deletion Fragment'!H38-'Mass Ion Calculations'!$D$5)),"-")</f>
        <v>-</v>
      </c>
      <c r="T38" s="48" t="str">
        <f>IF('Mass Ion Calculations'!$Y38=TRUE,(IF(G38="","",'1st Deletion Fragment'!I38-'Mass Ion Calculations'!$D$5)),"-")</f>
        <v>-</v>
      </c>
      <c r="U38" s="48" t="str">
        <f>IF('Mass Ion Calculations'!$Y38=TRUE,(IF(H38="","",'1st Deletion Fragment'!J38-'Mass Ion Calculations'!$D$5)),"-")</f>
        <v>-</v>
      </c>
      <c r="V38" s="48" t="str">
        <f>IF('Mass Ion Calculations'!$Y38=TRUE,(IF(I38="","",'1st Deletion Fragment'!K38-'Mass Ion Calculations'!$D$5)),"-")</f>
        <v>-</v>
      </c>
      <c r="W38" s="2"/>
      <c r="X38">
        <f t="shared" si="10"/>
        <v>1</v>
      </c>
      <c r="Y38" s="3">
        <f t="shared" si="11"/>
        <v>1</v>
      </c>
      <c r="Z38" s="3">
        <f t="shared" si="12"/>
        <v>1</v>
      </c>
      <c r="AA38" s="3">
        <f t="shared" si="13"/>
        <v>1</v>
      </c>
      <c r="AB38" s="3">
        <f t="shared" si="14"/>
        <v>1</v>
      </c>
      <c r="AC38" s="3">
        <f t="shared" si="15"/>
        <v>1</v>
      </c>
      <c r="AD38" s="3">
        <f t="shared" si="16"/>
        <v>1</v>
      </c>
      <c r="AE38" s="3">
        <f t="shared" si="17"/>
        <v>1</v>
      </c>
      <c r="AF38" s="3">
        <f t="shared" si="18"/>
        <v>1</v>
      </c>
      <c r="AG38" s="3">
        <f t="shared" si="19"/>
        <v>1</v>
      </c>
      <c r="AH38" t="str">
        <f t="shared" si="20"/>
        <v/>
      </c>
    </row>
    <row r="39" spans="1:34" x14ac:dyDescent="0.25">
      <c r="A39" s="4" t="str">
        <f>IF('Mass Ion Calculations'!B39="","",'Mass Ion Calculations'!B39)</f>
        <v/>
      </c>
      <c r="B39" t="str">
        <f>IF(A39="","",IF('Mass Ion Calculations'!$D$6="Yes",IF('Mass Ion Calculations'!$D$7="Yes",'Mass Ion Calculations'!$D$18-'Mass Ion Calculations'!C39,'Mass Ion Calculations'!$F$18-'Mass Ion Calculations'!E39),IF('Mass Ion Calculations'!$D$7="Yes", 'Mass Ion Calculations'!$D$15-'Mass Ion Calculations'!C39,'Mass Ion Calculations'!$F$15-'Mass Ion Calculations'!E39)))</f>
        <v/>
      </c>
      <c r="C39" t="str">
        <f>IF(A39="","",B39+'AA Exact Masses'!Q$2)</f>
        <v/>
      </c>
      <c r="D39" t="str">
        <f>IF(A39="","",B39+'AA Exact Masses'!Q$3)</f>
        <v/>
      </c>
      <c r="E39" t="str">
        <f>IF(A39="","",(B39+2*'AA Exact Masses'!Q$2)/2)</f>
        <v/>
      </c>
      <c r="F39" t="str">
        <f>IF(A39="","",(B39+2*'AA Exact Masses'!Q$3)/2)</f>
        <v/>
      </c>
      <c r="G39" t="str">
        <f>IF(A39="","",(B39+'AA Exact Masses'!Q$2+'AA Exact Masses'!Q$3)/2)</f>
        <v/>
      </c>
      <c r="H39" t="str">
        <f>IF($A39="","",($B39+3*'AA Exact Masses'!$Q$2)/3)</f>
        <v/>
      </c>
      <c r="I39" t="str">
        <f>IF($A39="","",($B39+2*'AA Exact Masses'!$Q$2+'AA Exact Masses'!$Q$3)/3)</f>
        <v/>
      </c>
      <c r="J39" t="str">
        <f>IF($A39="","",($B39+'AA Exact Masses'!$Q$2+2*'AA Exact Masses'!$Q$3)/3)</f>
        <v/>
      </c>
      <c r="K39" t="str">
        <f>IF($A39="","",($B39+3*'AA Exact Masses'!$Q$3)/3)</f>
        <v/>
      </c>
      <c r="L39" s="1"/>
      <c r="M39" s="8" t="str">
        <f t="shared" si="21"/>
        <v/>
      </c>
      <c r="N39" s="48" t="str">
        <f>IF('Mass Ion Calculations'!$Y39=TRUE,(IF(A39="","",'1st Deletion Fragment'!C39-'Mass Ion Calculations'!$D$5)),"-")</f>
        <v>-</v>
      </c>
      <c r="O39" s="48" t="str">
        <f>IF('Mass Ion Calculations'!$Y39=TRUE,(IF(B39="","",'1st Deletion Fragment'!D39-'Mass Ion Calculations'!$D$5)),"-")</f>
        <v>-</v>
      </c>
      <c r="P39" s="48" t="str">
        <f>IF('Mass Ion Calculations'!$Y39=TRUE,(IF(C39="","",'1st Deletion Fragment'!E39-'Mass Ion Calculations'!$D$5)),"-")</f>
        <v>-</v>
      </c>
      <c r="Q39" s="48" t="str">
        <f>IF('Mass Ion Calculations'!$Y39=TRUE,(IF(D39="","",'1st Deletion Fragment'!F39-'Mass Ion Calculations'!$D$5)),"-")</f>
        <v>-</v>
      </c>
      <c r="R39" s="48" t="str">
        <f>IF('Mass Ion Calculations'!$Y39=TRUE,(IF(E39="","",'1st Deletion Fragment'!G39-'Mass Ion Calculations'!$D$5)),"-")</f>
        <v>-</v>
      </c>
      <c r="S39" s="48" t="str">
        <f>IF('Mass Ion Calculations'!$Y39=TRUE,(IF(F39="","",'1st Deletion Fragment'!H39-'Mass Ion Calculations'!$D$5)),"-")</f>
        <v>-</v>
      </c>
      <c r="T39" s="48" t="str">
        <f>IF('Mass Ion Calculations'!$Y39=TRUE,(IF(G39="","",'1st Deletion Fragment'!I39-'Mass Ion Calculations'!$D$5)),"-")</f>
        <v>-</v>
      </c>
      <c r="U39" s="48" t="str">
        <f>IF('Mass Ion Calculations'!$Y39=TRUE,(IF(H39="","",'1st Deletion Fragment'!J39-'Mass Ion Calculations'!$D$5)),"-")</f>
        <v>-</v>
      </c>
      <c r="V39" s="48" t="str">
        <f>IF('Mass Ion Calculations'!$Y39=TRUE,(IF(I39="","",'1st Deletion Fragment'!K39-'Mass Ion Calculations'!$D$5)),"-")</f>
        <v>-</v>
      </c>
      <c r="W39" s="2"/>
      <c r="X39">
        <f t="shared" si="10"/>
        <v>1</v>
      </c>
      <c r="Y39" s="3">
        <f t="shared" si="11"/>
        <v>1</v>
      </c>
      <c r="Z39" s="3">
        <f t="shared" si="12"/>
        <v>1</v>
      </c>
      <c r="AA39" s="3">
        <f t="shared" si="13"/>
        <v>1</v>
      </c>
      <c r="AB39" s="3">
        <f t="shared" si="14"/>
        <v>1</v>
      </c>
      <c r="AC39" s="3">
        <f t="shared" si="15"/>
        <v>1</v>
      </c>
      <c r="AD39" s="3">
        <f t="shared" si="16"/>
        <v>1</v>
      </c>
      <c r="AE39" s="3">
        <f t="shared" si="17"/>
        <v>1</v>
      </c>
      <c r="AF39" s="3">
        <f t="shared" si="18"/>
        <v>1</v>
      </c>
      <c r="AG39" s="3">
        <f t="shared" si="19"/>
        <v>1</v>
      </c>
      <c r="AH39" t="str">
        <f t="shared" si="20"/>
        <v/>
      </c>
    </row>
    <row r="40" spans="1:34" x14ac:dyDescent="0.25">
      <c r="A40" s="4" t="str">
        <f>IF('Mass Ion Calculations'!B40="","",'Mass Ion Calculations'!B40)</f>
        <v/>
      </c>
      <c r="B40" t="str">
        <f>IF(A40="","",IF('Mass Ion Calculations'!$D$6="Yes",IF('Mass Ion Calculations'!$D$7="Yes",'Mass Ion Calculations'!$D$18-'Mass Ion Calculations'!C40,'Mass Ion Calculations'!$F$18-'Mass Ion Calculations'!E40),IF('Mass Ion Calculations'!$D$7="Yes", 'Mass Ion Calculations'!$D$15-'Mass Ion Calculations'!C40,'Mass Ion Calculations'!$F$15-'Mass Ion Calculations'!E40)))</f>
        <v/>
      </c>
      <c r="C40" t="str">
        <f>IF(A40="","",B40+'AA Exact Masses'!Q$2)</f>
        <v/>
      </c>
      <c r="D40" t="str">
        <f>IF(A40="","",B40+'AA Exact Masses'!Q$3)</f>
        <v/>
      </c>
      <c r="E40" t="str">
        <f>IF(A40="","",(B40+2*'AA Exact Masses'!Q$2)/2)</f>
        <v/>
      </c>
      <c r="F40" t="str">
        <f>IF(A40="","",(B40+2*'AA Exact Masses'!Q$3)/2)</f>
        <v/>
      </c>
      <c r="G40" t="str">
        <f>IF(A40="","",(B40+'AA Exact Masses'!Q$2+'AA Exact Masses'!Q$3)/2)</f>
        <v/>
      </c>
      <c r="H40" t="str">
        <f>IF($A40="","",($B40+3*'AA Exact Masses'!$Q$2)/3)</f>
        <v/>
      </c>
      <c r="I40" t="str">
        <f>IF($A40="","",($B40+2*'AA Exact Masses'!$Q$2+'AA Exact Masses'!$Q$3)/3)</f>
        <v/>
      </c>
      <c r="J40" t="str">
        <f>IF($A40="","",($B40+'AA Exact Masses'!$Q$2+2*'AA Exact Masses'!$Q$3)/3)</f>
        <v/>
      </c>
      <c r="K40" t="str">
        <f>IF($A40="","",($B40+3*'AA Exact Masses'!$Q$3)/3)</f>
        <v/>
      </c>
      <c r="L40" s="1"/>
      <c r="M40" s="8" t="str">
        <f t="shared" si="21"/>
        <v/>
      </c>
      <c r="N40" s="48" t="str">
        <f>IF('Mass Ion Calculations'!$Y40=TRUE,(IF(A40="","",'1st Deletion Fragment'!C40-'Mass Ion Calculations'!$D$5)),"-")</f>
        <v>-</v>
      </c>
      <c r="O40" s="48" t="str">
        <f>IF('Mass Ion Calculations'!$Y40=TRUE,(IF(B40="","",'1st Deletion Fragment'!D40-'Mass Ion Calculations'!$D$5)),"-")</f>
        <v>-</v>
      </c>
      <c r="P40" s="48" t="str">
        <f>IF('Mass Ion Calculations'!$Y40=TRUE,(IF(C40="","",'1st Deletion Fragment'!E40-'Mass Ion Calculations'!$D$5)),"-")</f>
        <v>-</v>
      </c>
      <c r="Q40" s="48" t="str">
        <f>IF('Mass Ion Calculations'!$Y40=TRUE,(IF(D40="","",'1st Deletion Fragment'!F40-'Mass Ion Calculations'!$D$5)),"-")</f>
        <v>-</v>
      </c>
      <c r="R40" s="48" t="str">
        <f>IF('Mass Ion Calculations'!$Y40=TRUE,(IF(E40="","",'1st Deletion Fragment'!G40-'Mass Ion Calculations'!$D$5)),"-")</f>
        <v>-</v>
      </c>
      <c r="S40" s="48" t="str">
        <f>IF('Mass Ion Calculations'!$Y40=TRUE,(IF(F40="","",'1st Deletion Fragment'!H40-'Mass Ion Calculations'!$D$5)),"-")</f>
        <v>-</v>
      </c>
      <c r="T40" s="48" t="str">
        <f>IF('Mass Ion Calculations'!$Y40=TRUE,(IF(G40="","",'1st Deletion Fragment'!I40-'Mass Ion Calculations'!$D$5)),"-")</f>
        <v>-</v>
      </c>
      <c r="U40" s="48" t="str">
        <f>IF('Mass Ion Calculations'!$Y40=TRUE,(IF(H40="","",'1st Deletion Fragment'!J40-'Mass Ion Calculations'!$D$5)),"-")</f>
        <v>-</v>
      </c>
      <c r="V40" s="48" t="str">
        <f>IF('Mass Ion Calculations'!$Y40=TRUE,(IF(I40="","",'1st Deletion Fragment'!K40-'Mass Ion Calculations'!$D$5)),"-")</f>
        <v>-</v>
      </c>
      <c r="W40" s="2"/>
      <c r="X40">
        <f t="shared" si="10"/>
        <v>1</v>
      </c>
      <c r="Y40" s="3">
        <f t="shared" si="11"/>
        <v>1</v>
      </c>
      <c r="Z40" s="3">
        <f t="shared" si="12"/>
        <v>1</v>
      </c>
      <c r="AA40" s="3">
        <f t="shared" si="13"/>
        <v>1</v>
      </c>
      <c r="AB40" s="3">
        <f t="shared" si="14"/>
        <v>1</v>
      </c>
      <c r="AC40" s="3">
        <f t="shared" si="15"/>
        <v>1</v>
      </c>
      <c r="AD40" s="3">
        <f t="shared" si="16"/>
        <v>1</v>
      </c>
      <c r="AE40" s="3">
        <f t="shared" si="17"/>
        <v>1</v>
      </c>
      <c r="AF40" s="3">
        <f t="shared" si="18"/>
        <v>1</v>
      </c>
      <c r="AG40" s="3">
        <f t="shared" si="19"/>
        <v>1</v>
      </c>
      <c r="AH40" t="str">
        <f t="shared" si="20"/>
        <v/>
      </c>
    </row>
    <row r="41" spans="1:34" x14ac:dyDescent="0.25">
      <c r="A41" s="4" t="str">
        <f>IF('Mass Ion Calculations'!B41="","",'Mass Ion Calculations'!B41)</f>
        <v/>
      </c>
      <c r="B41" t="str">
        <f>IF(A41="","",IF('Mass Ion Calculations'!$D$6="Yes",IF('Mass Ion Calculations'!$D$7="Yes",'Mass Ion Calculations'!$D$18-'Mass Ion Calculations'!C41,'Mass Ion Calculations'!$F$18-'Mass Ion Calculations'!E41),IF('Mass Ion Calculations'!$D$7="Yes", 'Mass Ion Calculations'!$D$15-'Mass Ion Calculations'!C41,'Mass Ion Calculations'!$F$15-'Mass Ion Calculations'!E41)))</f>
        <v/>
      </c>
      <c r="C41" t="str">
        <f>IF(A41="","",B41+'AA Exact Masses'!Q$2)</f>
        <v/>
      </c>
      <c r="D41" t="str">
        <f>IF(A41="","",B41+'AA Exact Masses'!Q$3)</f>
        <v/>
      </c>
      <c r="E41" t="str">
        <f>IF(A41="","",(B41+2*'AA Exact Masses'!Q$2)/2)</f>
        <v/>
      </c>
      <c r="F41" t="str">
        <f>IF(A41="","",(B41+2*'AA Exact Masses'!Q$3)/2)</f>
        <v/>
      </c>
      <c r="G41" t="str">
        <f>IF(A41="","",(B41+'AA Exact Masses'!Q$2+'AA Exact Masses'!Q$3)/2)</f>
        <v/>
      </c>
      <c r="H41" t="str">
        <f>IF($A41="","",($B41+3*'AA Exact Masses'!$Q$2)/3)</f>
        <v/>
      </c>
      <c r="I41" t="str">
        <f>IF($A41="","",($B41+2*'AA Exact Masses'!$Q$2+'AA Exact Masses'!$Q$3)/3)</f>
        <v/>
      </c>
      <c r="J41" t="str">
        <f>IF($A41="","",($B41+'AA Exact Masses'!$Q$2+2*'AA Exact Masses'!$Q$3)/3)</f>
        <v/>
      </c>
      <c r="K41" t="str">
        <f>IF($A41="","",($B41+3*'AA Exact Masses'!$Q$3)/3)</f>
        <v/>
      </c>
      <c r="L41" s="1"/>
      <c r="M41" s="8" t="str">
        <f t="shared" si="21"/>
        <v/>
      </c>
      <c r="N41" s="48" t="str">
        <f>IF('Mass Ion Calculations'!$Y41=TRUE,(IF(A41="","",'1st Deletion Fragment'!C41-'Mass Ion Calculations'!$D$5)),"-")</f>
        <v>-</v>
      </c>
      <c r="O41" s="48" t="str">
        <f>IF('Mass Ion Calculations'!$Y41=TRUE,(IF(B41="","",'1st Deletion Fragment'!D41-'Mass Ion Calculations'!$D$5)),"-")</f>
        <v>-</v>
      </c>
      <c r="P41" s="48" t="str">
        <f>IF('Mass Ion Calculations'!$Y41=TRUE,(IF(C41="","",'1st Deletion Fragment'!E41-'Mass Ion Calculations'!$D$5)),"-")</f>
        <v>-</v>
      </c>
      <c r="Q41" s="48" t="str">
        <f>IF('Mass Ion Calculations'!$Y41=TRUE,(IF(D41="","",'1st Deletion Fragment'!F41-'Mass Ion Calculations'!$D$5)),"-")</f>
        <v>-</v>
      </c>
      <c r="R41" s="48" t="str">
        <f>IF('Mass Ion Calculations'!$Y41=TRUE,(IF(E41="","",'1st Deletion Fragment'!G41-'Mass Ion Calculations'!$D$5)),"-")</f>
        <v>-</v>
      </c>
      <c r="S41" s="48" t="str">
        <f>IF('Mass Ion Calculations'!$Y41=TRUE,(IF(F41="","",'1st Deletion Fragment'!H41-'Mass Ion Calculations'!$D$5)),"-")</f>
        <v>-</v>
      </c>
      <c r="T41" s="48" t="str">
        <f>IF('Mass Ion Calculations'!$Y41=TRUE,(IF(G41="","",'1st Deletion Fragment'!I41-'Mass Ion Calculations'!$D$5)),"-")</f>
        <v>-</v>
      </c>
      <c r="U41" s="48" t="str">
        <f>IF('Mass Ion Calculations'!$Y41=TRUE,(IF(H41="","",'1st Deletion Fragment'!J41-'Mass Ion Calculations'!$D$5)),"-")</f>
        <v>-</v>
      </c>
      <c r="V41" s="48" t="str">
        <f>IF('Mass Ion Calculations'!$Y41=TRUE,(IF(I41="","",'1st Deletion Fragment'!K41-'Mass Ion Calculations'!$D$5)),"-")</f>
        <v>-</v>
      </c>
      <c r="W41" s="2"/>
      <c r="X41">
        <f t="shared" si="10"/>
        <v>1</v>
      </c>
      <c r="Y41" s="3">
        <f t="shared" si="11"/>
        <v>1</v>
      </c>
      <c r="Z41" s="3">
        <f t="shared" si="12"/>
        <v>1</v>
      </c>
      <c r="AA41" s="3">
        <f t="shared" si="13"/>
        <v>1</v>
      </c>
      <c r="AB41" s="3">
        <f t="shared" si="14"/>
        <v>1</v>
      </c>
      <c r="AC41" s="3">
        <f t="shared" si="15"/>
        <v>1</v>
      </c>
      <c r="AD41" s="3">
        <f t="shared" si="16"/>
        <v>1</v>
      </c>
      <c r="AE41" s="3">
        <f t="shared" si="17"/>
        <v>1</v>
      </c>
      <c r="AF41" s="3">
        <f t="shared" si="18"/>
        <v>1</v>
      </c>
      <c r="AG41" s="3">
        <f t="shared" si="19"/>
        <v>1</v>
      </c>
    </row>
    <row r="42" spans="1:34" x14ac:dyDescent="0.25">
      <c r="A42" s="4" t="str">
        <f>IF('Mass Ion Calculations'!B42="","",'Mass Ion Calculations'!B42)</f>
        <v/>
      </c>
      <c r="B42" t="str">
        <f>IF(A42="","",IF('Mass Ion Calculations'!$D$6="Yes",IF('Mass Ion Calculations'!$D$7="Yes",'Mass Ion Calculations'!$D$18-'Mass Ion Calculations'!C42,'Mass Ion Calculations'!$F$18-'Mass Ion Calculations'!E42),IF('Mass Ion Calculations'!$D$7="Yes", 'Mass Ion Calculations'!$D$15-'Mass Ion Calculations'!C42,'Mass Ion Calculations'!$F$15-'Mass Ion Calculations'!E42)))</f>
        <v/>
      </c>
      <c r="C42" t="str">
        <f>IF(A42="","",B42+'AA Exact Masses'!Q$2)</f>
        <v/>
      </c>
      <c r="D42" t="str">
        <f>IF(A42="","",B42+'AA Exact Masses'!Q$3)</f>
        <v/>
      </c>
      <c r="E42" t="str">
        <f>IF(A42="","",(B42+2*'AA Exact Masses'!Q$2)/2)</f>
        <v/>
      </c>
      <c r="F42" t="str">
        <f>IF(A42="","",(B42+2*'AA Exact Masses'!Q$3)/2)</f>
        <v/>
      </c>
      <c r="G42" t="str">
        <f>IF(A42="","",(B42+'AA Exact Masses'!Q$2+'AA Exact Masses'!Q$3)/2)</f>
        <v/>
      </c>
      <c r="H42" t="str">
        <f>IF($A42="","",($B42+3*'AA Exact Masses'!$Q$2)/3)</f>
        <v/>
      </c>
      <c r="I42" t="str">
        <f>IF($A42="","",($B42+2*'AA Exact Masses'!$Q$2+'AA Exact Masses'!$Q$3)/3)</f>
        <v/>
      </c>
      <c r="J42" t="str">
        <f>IF($A42="","",($B42+'AA Exact Masses'!$Q$2+2*'AA Exact Masses'!$Q$3)/3)</f>
        <v/>
      </c>
      <c r="K42" t="str">
        <f>IF($A42="","",($B42+3*'AA Exact Masses'!$Q$3)/3)</f>
        <v/>
      </c>
      <c r="L42" s="1"/>
      <c r="M42" s="8" t="str">
        <f t="shared" si="21"/>
        <v/>
      </c>
      <c r="N42" s="48" t="str">
        <f>IF('Mass Ion Calculations'!$Y42=TRUE,(IF(A42="","",'1st Deletion Fragment'!C42-'Mass Ion Calculations'!$D$5)),"-")</f>
        <v>-</v>
      </c>
      <c r="O42" s="48" t="str">
        <f>IF('Mass Ion Calculations'!$Y42=TRUE,(IF(B42="","",'1st Deletion Fragment'!D42-'Mass Ion Calculations'!$D$5)),"-")</f>
        <v>-</v>
      </c>
      <c r="P42" s="48" t="str">
        <f>IF('Mass Ion Calculations'!$Y42=TRUE,(IF(C42="","",'1st Deletion Fragment'!E42-'Mass Ion Calculations'!$D$5)),"-")</f>
        <v>-</v>
      </c>
      <c r="Q42" s="48" t="str">
        <f>IF('Mass Ion Calculations'!$Y42=TRUE,(IF(D42="","",'1st Deletion Fragment'!F42-'Mass Ion Calculations'!$D$5)),"-")</f>
        <v>-</v>
      </c>
      <c r="R42" s="48" t="str">
        <f>IF('Mass Ion Calculations'!$Y42=TRUE,(IF(E42="","",'1st Deletion Fragment'!G42-'Mass Ion Calculations'!$D$5)),"-")</f>
        <v>-</v>
      </c>
      <c r="S42" s="48" t="str">
        <f>IF('Mass Ion Calculations'!$Y42=TRUE,(IF(F42="","",'1st Deletion Fragment'!H42-'Mass Ion Calculations'!$D$5)),"-")</f>
        <v>-</v>
      </c>
      <c r="T42" s="48" t="str">
        <f>IF('Mass Ion Calculations'!$Y42=TRUE,(IF(G42="","",'1st Deletion Fragment'!I42-'Mass Ion Calculations'!$D$5)),"-")</f>
        <v>-</v>
      </c>
      <c r="U42" s="48" t="str">
        <f>IF('Mass Ion Calculations'!$Y42=TRUE,(IF(H42="","",'1st Deletion Fragment'!J42-'Mass Ion Calculations'!$D$5)),"-")</f>
        <v>-</v>
      </c>
      <c r="V42" s="48" t="str">
        <f>IF('Mass Ion Calculations'!$Y42=TRUE,(IF(I42="","",'1st Deletion Fragment'!K42-'Mass Ion Calculations'!$D$5)),"-")</f>
        <v>-</v>
      </c>
      <c r="W42" s="2"/>
      <c r="X42">
        <f t="shared" si="10"/>
        <v>1</v>
      </c>
      <c r="Y42" s="3">
        <f t="shared" si="11"/>
        <v>1</v>
      </c>
      <c r="Z42" s="3">
        <f t="shared" si="12"/>
        <v>1</v>
      </c>
      <c r="AA42" s="3">
        <f t="shared" si="13"/>
        <v>1</v>
      </c>
      <c r="AB42" s="3">
        <f t="shared" si="14"/>
        <v>1</v>
      </c>
      <c r="AC42" s="3">
        <f t="shared" si="15"/>
        <v>1</v>
      </c>
      <c r="AD42" s="3">
        <f t="shared" si="16"/>
        <v>1</v>
      </c>
      <c r="AE42" s="3">
        <f t="shared" si="17"/>
        <v>1</v>
      </c>
      <c r="AF42" s="3">
        <f t="shared" si="18"/>
        <v>1</v>
      </c>
      <c r="AG42" s="3">
        <f t="shared" si="19"/>
        <v>1</v>
      </c>
    </row>
    <row r="43" spans="1:34" x14ac:dyDescent="0.25">
      <c r="A43" s="4" t="str">
        <f>IF('Mass Ion Calculations'!B43="","",'Mass Ion Calculations'!B43)</f>
        <v/>
      </c>
      <c r="B43" t="str">
        <f>IF(A43="","",IF('Mass Ion Calculations'!$D$6="Yes",IF('Mass Ion Calculations'!$D$7="Yes",'Mass Ion Calculations'!$D$18-'Mass Ion Calculations'!C43,'Mass Ion Calculations'!$F$18-'Mass Ion Calculations'!E43),IF('Mass Ion Calculations'!$D$7="Yes", 'Mass Ion Calculations'!$D$15-'Mass Ion Calculations'!C43,'Mass Ion Calculations'!$F$15-'Mass Ion Calculations'!E43)))</f>
        <v/>
      </c>
      <c r="C43" t="str">
        <f>IF(A43="","",B43+'AA Exact Masses'!Q$2)</f>
        <v/>
      </c>
      <c r="D43" t="str">
        <f>IF(A43="","",B43+'AA Exact Masses'!Q$3)</f>
        <v/>
      </c>
      <c r="E43" t="str">
        <f>IF(A43="","",(B43+2*'AA Exact Masses'!Q$2)/2)</f>
        <v/>
      </c>
      <c r="F43" t="str">
        <f>IF(A43="","",(B43+2*'AA Exact Masses'!Q$3)/2)</f>
        <v/>
      </c>
      <c r="G43" t="str">
        <f>IF(A43="","",(B43+'AA Exact Masses'!Q$2+'AA Exact Masses'!Q$3)/2)</f>
        <v/>
      </c>
      <c r="H43" t="str">
        <f>IF($A43="","",($B43+3*'AA Exact Masses'!$Q$2)/3)</f>
        <v/>
      </c>
      <c r="I43" t="str">
        <f>IF($A43="","",($B43+2*'AA Exact Masses'!$Q$2+'AA Exact Masses'!$Q$3)/3)</f>
        <v/>
      </c>
      <c r="J43" t="str">
        <f>IF($A43="","",($B43+'AA Exact Masses'!$Q$2+2*'AA Exact Masses'!$Q$3)/3)</f>
        <v/>
      </c>
      <c r="K43" t="str">
        <f>IF($A43="","",($B43+3*'AA Exact Masses'!$Q$3)/3)</f>
        <v/>
      </c>
      <c r="L43" s="1"/>
      <c r="M43" s="8" t="str">
        <f t="shared" si="21"/>
        <v/>
      </c>
      <c r="N43" s="3" t="str">
        <f>IF(A43="","",'1st Deletion Fragment'!C43-'Mass Ion Calculations'!$D$5)</f>
        <v/>
      </c>
      <c r="O43" s="3" t="str">
        <f>IF(A43="","",('1st Deletion Fragment'!D43-'Mass Ion Calculations'!$D$5))</f>
        <v/>
      </c>
      <c r="P43" s="3" t="str">
        <f>IF(A43="","",('1st Deletion Fragment'!E43-'Mass Ion Calculations'!$D$5))</f>
        <v/>
      </c>
      <c r="Q43" s="3" t="str">
        <f>IF(A43="","",('1st Deletion Fragment'!F43-'Mass Ion Calculations'!$D$5))</f>
        <v/>
      </c>
      <c r="R43" s="3" t="str">
        <f>IF(A43="","",('1st Deletion Fragment'!G43-'Mass Ion Calculations'!$D$5))</f>
        <v/>
      </c>
      <c r="S43" s="3" t="str">
        <f>IF($A43="","",('1st Deletion Fragment'!H43-'Mass Ion Calculations'!$D$5))</f>
        <v/>
      </c>
      <c r="T43" s="3" t="str">
        <f>IF($A43="","",('1st Deletion Fragment'!I43-'Mass Ion Calculations'!$D$5))</f>
        <v/>
      </c>
      <c r="U43" s="3" t="str">
        <f>IF($A43="","",('1st Deletion Fragment'!J43-'Mass Ion Calculations'!$D$5))</f>
        <v/>
      </c>
      <c r="V43" s="3" t="str">
        <f>IF($A43="","",('1st Deletion Fragment'!K43-'Mass Ion Calculations'!$D$5))</f>
        <v/>
      </c>
      <c r="W43" s="2"/>
      <c r="Y43" s="3"/>
    </row>
    <row r="44" spans="1:34" x14ac:dyDescent="0.25">
      <c r="A44" s="4" t="str">
        <f>IF('Mass Ion Calculations'!B44="","",'Mass Ion Calculations'!B44)</f>
        <v/>
      </c>
      <c r="B44" t="str">
        <f>IF(A44="","",IF('Mass Ion Calculations'!$D$6="Yes",IF('Mass Ion Calculations'!$D$7="Yes",'Mass Ion Calculations'!$D$18-'Mass Ion Calculations'!C44,'Mass Ion Calculations'!$F$18-'Mass Ion Calculations'!E44),IF('Mass Ion Calculations'!$D$7="Yes", 'Mass Ion Calculations'!$D$15-'Mass Ion Calculations'!C44,'Mass Ion Calculations'!$F$15-'Mass Ion Calculations'!E44)))</f>
        <v/>
      </c>
      <c r="C44" t="str">
        <f>IF(A44="","",B44+'AA Exact Masses'!Q$2)</f>
        <v/>
      </c>
      <c r="D44" t="str">
        <f>IF(A44="","",B44+'AA Exact Masses'!Q$3)</f>
        <v/>
      </c>
      <c r="E44" t="str">
        <f>IF(A44="","",(B44+2*'AA Exact Masses'!Q$2)/2)</f>
        <v/>
      </c>
      <c r="F44" t="str">
        <f>IF(A44="","",(B44+2*'AA Exact Masses'!Q$3)/2)</f>
        <v/>
      </c>
      <c r="G44" t="str">
        <f>IF(A44="","",(B44+'AA Exact Masses'!Q$2+'AA Exact Masses'!Q$3)/2)</f>
        <v/>
      </c>
      <c r="H44" t="str">
        <f>IF($A44="","",($B44+3*'AA Exact Masses'!$Q$2)/3)</f>
        <v/>
      </c>
      <c r="I44" t="str">
        <f>IF($A44="","",($B44+2*'AA Exact Masses'!$Q$2+'AA Exact Masses'!$Q$3)/3)</f>
        <v/>
      </c>
      <c r="J44" t="str">
        <f>IF($A44="","",($B44+'AA Exact Masses'!$Q$2+2*'AA Exact Masses'!$Q$3)/3)</f>
        <v/>
      </c>
      <c r="K44" t="str">
        <f>IF($A44="","",($B44+3*'AA Exact Masses'!$Q$3)/3)</f>
        <v/>
      </c>
      <c r="L44" s="1"/>
      <c r="M44" s="8" t="str">
        <f t="shared" si="21"/>
        <v/>
      </c>
      <c r="N44" s="3" t="str">
        <f>IF(A44="","",'1st Deletion Fragment'!C44-'Mass Ion Calculations'!$D$5)</f>
        <v/>
      </c>
      <c r="O44" s="3" t="str">
        <f>IF(A44="","",('1st Deletion Fragment'!D44-'Mass Ion Calculations'!$D$5))</f>
        <v/>
      </c>
      <c r="P44" s="3" t="str">
        <f>IF(A44="","",('1st Deletion Fragment'!E44-'Mass Ion Calculations'!$D$5))</f>
        <v/>
      </c>
      <c r="Q44" s="3" t="str">
        <f>IF(A44="","",('1st Deletion Fragment'!F44-'Mass Ion Calculations'!$D$5))</f>
        <v/>
      </c>
      <c r="R44" s="3" t="str">
        <f>IF(A44="","",('1st Deletion Fragment'!G44-'Mass Ion Calculations'!$D$5))</f>
        <v/>
      </c>
      <c r="S44" s="3" t="str">
        <f>IF($A44="","",('1st Deletion Fragment'!H44-'Mass Ion Calculations'!$D$5))</f>
        <v/>
      </c>
      <c r="T44" s="3" t="str">
        <f>IF($A44="","",('1st Deletion Fragment'!I44-'Mass Ion Calculations'!$D$5))</f>
        <v/>
      </c>
      <c r="U44" s="3" t="str">
        <f>IF($A44="","",('1st Deletion Fragment'!J44-'Mass Ion Calculations'!$D$5))</f>
        <v/>
      </c>
      <c r="V44" s="3" t="str">
        <f>IF($A44="","",('1st Deletion Fragment'!K44-'Mass Ion Calculations'!$D$5))</f>
        <v/>
      </c>
      <c r="W44" s="2"/>
      <c r="Y44" s="3">
        <f>Y5*Y6*Y7*Y8*Y9*Y10*Y11*Y12*Y13*Y14*Y15*Y16*Y17*Y18*Y19*Y20*Y21*Y22*Y23*Y24*Y25*Y26*Y27*Y28*Y29*Y30*Y31*Y32*Y33*Y34*Y35*Y36*Y37*Y38*Y39*Y40*Y41*Y42</f>
        <v>1.7225804612839823E+43</v>
      </c>
      <c r="Z44" s="3">
        <f t="shared" ref="Z44:AG44" si="22">Z5*Z6*Z7*Z8*Z9*Z10*Z11*Z12*Z13*Z14*Z15*Z16*Z17*Z18*Z19*Z20*Z21*Z22*Z23*Z24*Z25*Z26*Z27*Z28*Z29*Z30*Z31*Z32*Z33*Z34*Z35*Z36*Z37*Z38*Z39*Z40*Z41*Z42</f>
        <v>3.4256966966980642E+43</v>
      </c>
      <c r="AA44" s="3">
        <f t="shared" si="22"/>
        <v>1.2006769019077256E+41</v>
      </c>
      <c r="AB44" s="3">
        <f t="shared" si="22"/>
        <v>4.4873635904210353E+40</v>
      </c>
      <c r="AC44" s="3">
        <f t="shared" si="22"/>
        <v>7.3961344189640501E+40</v>
      </c>
      <c r="AD44" s="3">
        <f t="shared" si="22"/>
        <v>1.3593473365459926E+45</v>
      </c>
      <c r="AE44" s="3">
        <f t="shared" si="22"/>
        <v>1.1449269438236754E+45</v>
      </c>
      <c r="AF44" s="3">
        <f t="shared" si="22"/>
        <v>9.5354241306138976E+44</v>
      </c>
      <c r="AG44" s="3">
        <f t="shared" si="22"/>
        <v>7.9142518669832699E+44</v>
      </c>
    </row>
    <row r="45" spans="1:34" x14ac:dyDescent="0.25">
      <c r="A45" s="4" t="str">
        <f>IF('Mass Ion Calculations'!B45="","",'Mass Ion Calculations'!B45)</f>
        <v/>
      </c>
      <c r="B45" t="str">
        <f>IF(A45="","",IF('Mass Ion Calculations'!$D$6="Yes",IF('Mass Ion Calculations'!$D$7="Yes",'Mass Ion Calculations'!$D$18-'Mass Ion Calculations'!C45,'Mass Ion Calculations'!$F$18-'Mass Ion Calculations'!E45),IF('Mass Ion Calculations'!$D$7="Yes", 'Mass Ion Calculations'!$D$15-'Mass Ion Calculations'!C45,'Mass Ion Calculations'!$F$15-'Mass Ion Calculations'!E45)))</f>
        <v/>
      </c>
      <c r="C45" t="str">
        <f>IF(A45="","",B45+'AA Exact Masses'!Q$2)</f>
        <v/>
      </c>
      <c r="D45" t="str">
        <f>IF(A45="","",B45+'AA Exact Masses'!Q$3)</f>
        <v/>
      </c>
      <c r="E45" t="str">
        <f>IF(A45="","",(B45+2*'AA Exact Masses'!Q$2)/2)</f>
        <v/>
      </c>
      <c r="F45" t="str">
        <f>IF(A45="","",(B45+2*'AA Exact Masses'!Q$3)/2)</f>
        <v/>
      </c>
      <c r="G45" t="str">
        <f>IF(A45="","",(B45+'AA Exact Masses'!Q$2+'AA Exact Masses'!Q$3)/2)</f>
        <v/>
      </c>
      <c r="H45" t="str">
        <f>IF($A45="","",($B45+3*'AA Exact Masses'!$Q$2)/3)</f>
        <v/>
      </c>
      <c r="I45" t="str">
        <f>IF($A45="","",($B45+2*'AA Exact Masses'!$Q$2+'AA Exact Masses'!$Q$3)/3)</f>
        <v/>
      </c>
      <c r="J45" t="str">
        <f>IF($A45="","",($B45+'AA Exact Masses'!$Q$2+2*'AA Exact Masses'!$Q$3)/3)</f>
        <v/>
      </c>
      <c r="K45" t="str">
        <f>IF($A45="","",($B45+3*'AA Exact Masses'!$Q$3)/3)</f>
        <v/>
      </c>
      <c r="L45" s="1"/>
      <c r="M45" s="8" t="str">
        <f t="shared" si="21"/>
        <v/>
      </c>
      <c r="N45" s="3" t="str">
        <f>IF(A45="","",'1st Deletion Fragment'!C45-'Mass Ion Calculations'!$D$5)</f>
        <v/>
      </c>
      <c r="O45" s="3" t="str">
        <f>IF(A45="","",('1st Deletion Fragment'!D45-'Mass Ion Calculations'!$D$5))</f>
        <v/>
      </c>
      <c r="P45" s="3" t="str">
        <f>IF(A45="","",('1st Deletion Fragment'!E45-'Mass Ion Calculations'!$D$5))</f>
        <v/>
      </c>
      <c r="Q45" s="3" t="str">
        <f>IF(A45="","",('1st Deletion Fragment'!F45-'Mass Ion Calculations'!$D$5))</f>
        <v/>
      </c>
      <c r="R45" s="3" t="str">
        <f>IF(A45="","",('1st Deletion Fragment'!G45-'Mass Ion Calculations'!$D$5))</f>
        <v/>
      </c>
      <c r="S45" s="3" t="str">
        <f>IF($A45="","",('1st Deletion Fragment'!H45-'Mass Ion Calculations'!$D$5))</f>
        <v/>
      </c>
      <c r="T45" s="3" t="str">
        <f>IF($A45="","",('1st Deletion Fragment'!I45-'Mass Ion Calculations'!$D$5))</f>
        <v/>
      </c>
      <c r="U45" s="3" t="str">
        <f>IF($A45="","",('1st Deletion Fragment'!J45-'Mass Ion Calculations'!$D$5))</f>
        <v/>
      </c>
      <c r="V45" s="3" t="str">
        <f>IF($A45="","",('1st Deletion Fragment'!K45-'Mass Ion Calculations'!$D$5))</f>
        <v/>
      </c>
      <c r="W45" s="2"/>
      <c r="Y45" s="6" t="s">
        <v>16</v>
      </c>
      <c r="Z45" s="6" t="s">
        <v>17</v>
      </c>
      <c r="AA45" s="6" t="s">
        <v>19</v>
      </c>
      <c r="AB45" s="6" t="s">
        <v>20</v>
      </c>
      <c r="AC45" s="6" t="s">
        <v>22</v>
      </c>
      <c r="AD45" s="6" t="s">
        <v>25</v>
      </c>
      <c r="AE45" s="6" t="s">
        <v>79</v>
      </c>
      <c r="AF45" s="6" t="s">
        <v>80</v>
      </c>
      <c r="AG45" s="6" t="s">
        <v>81</v>
      </c>
    </row>
    <row r="46" spans="1:34" x14ac:dyDescent="0.25">
      <c r="A46" s="4" t="str">
        <f>IF('Mass Ion Calculations'!B46="","",'Mass Ion Calculations'!B46)</f>
        <v/>
      </c>
      <c r="B46" t="str">
        <f>IF(A46="","",IF('Mass Ion Calculations'!$D$6="Yes",IF('Mass Ion Calculations'!$D$7="Yes",'Mass Ion Calculations'!$D$18-'Mass Ion Calculations'!C46,'Mass Ion Calculations'!$F$18-'Mass Ion Calculations'!E46),IF('Mass Ion Calculations'!$D$7="Yes", 'Mass Ion Calculations'!$D$15-'Mass Ion Calculations'!C46,'Mass Ion Calculations'!$F$15-'Mass Ion Calculations'!E46)))</f>
        <v/>
      </c>
      <c r="C46" t="str">
        <f>IF(A46="","",B46+'AA Exact Masses'!Q$2)</f>
        <v/>
      </c>
      <c r="D46" t="str">
        <f>IF(A46="","",B46+'AA Exact Masses'!Q$3)</f>
        <v/>
      </c>
      <c r="E46" t="str">
        <f>IF(A46="","",(B46+2*'AA Exact Masses'!Q$2)/2)</f>
        <v/>
      </c>
      <c r="F46" t="str">
        <f>IF(A46="","",(B46+2*'AA Exact Masses'!Q$3)/2)</f>
        <v/>
      </c>
      <c r="G46" t="str">
        <f>IF(A46="","",(B46+'AA Exact Masses'!Q$2+'AA Exact Masses'!Q$3)/2)</f>
        <v/>
      </c>
      <c r="H46" t="str">
        <f>IF($A46="","",($B46+3*'AA Exact Masses'!$Q$2)/3)</f>
        <v/>
      </c>
      <c r="I46" t="str">
        <f>IF($A46="","",($B46+2*'AA Exact Masses'!$Q$2+'AA Exact Masses'!$Q$3)/3)</f>
        <v/>
      </c>
      <c r="J46" t="str">
        <f>IF($A46="","",($B46+'AA Exact Masses'!$Q$2+2*'AA Exact Masses'!$Q$3)/3)</f>
        <v/>
      </c>
      <c r="K46" t="str">
        <f>IF($A46="","",($B46+3*'AA Exact Masses'!$Q$3)/3)</f>
        <v/>
      </c>
      <c r="L46" s="1"/>
      <c r="M46" s="8" t="str">
        <f t="shared" si="21"/>
        <v/>
      </c>
      <c r="N46" s="3" t="str">
        <f>IF(A46="","",'1st Deletion Fragment'!C46-'Mass Ion Calculations'!$D$5)</f>
        <v/>
      </c>
      <c r="O46" s="3" t="str">
        <f>IF(A46="","",('1st Deletion Fragment'!D46-'Mass Ion Calculations'!$D$5))</f>
        <v/>
      </c>
      <c r="P46" s="3" t="str">
        <f>IF(A46="","",('1st Deletion Fragment'!E46-'Mass Ion Calculations'!$D$5))</f>
        <v/>
      </c>
      <c r="Q46" s="3" t="str">
        <f>IF(A46="","",('1st Deletion Fragment'!F46-'Mass Ion Calculations'!$D$5))</f>
        <v/>
      </c>
      <c r="R46" s="3" t="str">
        <f>IF(A46="","",('1st Deletion Fragment'!G46-'Mass Ion Calculations'!$D$5))</f>
        <v/>
      </c>
      <c r="S46" s="3" t="str">
        <f>IF($A46="","",('1st Deletion Fragment'!H46-'Mass Ion Calculations'!$D$5))</f>
        <v/>
      </c>
      <c r="T46" s="3" t="str">
        <f>IF($A46="","",('1st Deletion Fragment'!I46-'Mass Ion Calculations'!$D$5))</f>
        <v/>
      </c>
      <c r="U46" s="3" t="str">
        <f>IF($A46="","",('1st Deletion Fragment'!J46-'Mass Ion Calculations'!$D$5))</f>
        <v/>
      </c>
      <c r="V46" s="3" t="str">
        <f>IF($A46="","",('1st Deletion Fragment'!K46-'Mass Ion Calculations'!$D$5))</f>
        <v/>
      </c>
      <c r="W46" s="2"/>
    </row>
    <row r="47" spans="1:34" x14ac:dyDescent="0.25">
      <c r="A47" s="4" t="str">
        <f>IF('Mass Ion Calculations'!B47="","",'Mass Ion Calculations'!B47)</f>
        <v/>
      </c>
      <c r="B47" t="str">
        <f>IF(A47="","",IF('Mass Ion Calculations'!$D$6="Yes",IF('Mass Ion Calculations'!$D$7="Yes",'Mass Ion Calculations'!$D$18-'Mass Ion Calculations'!C47,'Mass Ion Calculations'!$F$18-'Mass Ion Calculations'!E47),IF('Mass Ion Calculations'!$D$7="Yes", 'Mass Ion Calculations'!$D$15-'Mass Ion Calculations'!C47,'Mass Ion Calculations'!$F$15-'Mass Ion Calculations'!E47)))</f>
        <v/>
      </c>
      <c r="C47" t="str">
        <f>IF(A47="","",B47+'AA Exact Masses'!Q$2)</f>
        <v/>
      </c>
      <c r="D47" t="str">
        <f>IF(A47="","",B47+'AA Exact Masses'!Q$3)</f>
        <v/>
      </c>
      <c r="E47" t="str">
        <f>IF(A47="","",(B47+2*'AA Exact Masses'!Q$2)/2)</f>
        <v/>
      </c>
      <c r="F47" t="str">
        <f>IF(A47="","",(B47+2*'AA Exact Masses'!Q$3)/2)</f>
        <v/>
      </c>
      <c r="G47" t="str">
        <f>IF(A47="","",(B47+'AA Exact Masses'!Q$2+'AA Exact Masses'!Q$3)/2)</f>
        <v/>
      </c>
      <c r="H47" t="str">
        <f>IF($A47="","",($B47+3*'AA Exact Masses'!$Q$2)/3)</f>
        <v/>
      </c>
      <c r="I47" t="str">
        <f>IF($A47="","",($B47+2*'AA Exact Masses'!$Q$2+'AA Exact Masses'!$Q$3)/3)</f>
        <v/>
      </c>
      <c r="J47" t="str">
        <f>IF($A47="","",($B47+'AA Exact Masses'!$Q$2+2*'AA Exact Masses'!$Q$3)/3)</f>
        <v/>
      </c>
      <c r="K47" t="str">
        <f>IF($A47="","",($B47+3*'AA Exact Masses'!$Q$3)/3)</f>
        <v/>
      </c>
      <c r="L47" s="1"/>
      <c r="M47" s="8" t="str">
        <f t="shared" si="21"/>
        <v/>
      </c>
      <c r="N47" s="3" t="str">
        <f>IF(A47="","",'1st Deletion Fragment'!C47-'Mass Ion Calculations'!$D$5)</f>
        <v/>
      </c>
      <c r="O47" s="3" t="str">
        <f>IF(A47="","",('1st Deletion Fragment'!D47-'Mass Ion Calculations'!$D$5))</f>
        <v/>
      </c>
      <c r="P47" s="3" t="str">
        <f>IF(A47="","",('1st Deletion Fragment'!E47-'Mass Ion Calculations'!$D$5))</f>
        <v/>
      </c>
      <c r="Q47" s="3" t="str">
        <f>IF(A47="","",('1st Deletion Fragment'!F47-'Mass Ion Calculations'!$D$5))</f>
        <v/>
      </c>
      <c r="R47" s="3" t="str">
        <f>IF(A47="","",('1st Deletion Fragment'!G47-'Mass Ion Calculations'!$D$5))</f>
        <v/>
      </c>
      <c r="S47" s="3" t="str">
        <f>IF($A47="","",('1st Deletion Fragment'!H47-'Mass Ion Calculations'!$D$5))</f>
        <v/>
      </c>
      <c r="T47" s="3" t="str">
        <f>IF($A47="","",('1st Deletion Fragment'!I47-'Mass Ion Calculations'!$D$5))</f>
        <v/>
      </c>
      <c r="U47" s="3" t="str">
        <f>IF($A47="","",('1st Deletion Fragment'!J47-'Mass Ion Calculations'!$D$5))</f>
        <v/>
      </c>
      <c r="V47" s="3" t="str">
        <f>IF($A47="","",('1st Deletion Fragment'!K47-'Mass Ion Calculations'!$D$5))</f>
        <v/>
      </c>
      <c r="W47" s="2"/>
    </row>
    <row r="48" spans="1:34" x14ac:dyDescent="0.25">
      <c r="A48" s="4" t="str">
        <f>IF('Mass Ion Calculations'!B48="","",'Mass Ion Calculations'!B48)</f>
        <v/>
      </c>
      <c r="B48" t="str">
        <f>IF(A48="","",IF('Mass Ion Calculations'!$D$6="Yes",IF('Mass Ion Calculations'!$D$7="Yes",'Mass Ion Calculations'!$D$18-'Mass Ion Calculations'!C48,'Mass Ion Calculations'!$F$18-'Mass Ion Calculations'!E48),IF('Mass Ion Calculations'!$D$7="Yes", 'Mass Ion Calculations'!$D$15-'Mass Ion Calculations'!C48,'Mass Ion Calculations'!$F$15-'Mass Ion Calculations'!E48)))</f>
        <v/>
      </c>
      <c r="C48" t="str">
        <f>IF(A48="","",B48+'AA Exact Masses'!Q$2)</f>
        <v/>
      </c>
      <c r="D48" t="str">
        <f>IF(A48="","",B48+'AA Exact Masses'!Q$3)</f>
        <v/>
      </c>
      <c r="E48" t="str">
        <f>IF(A48="","",(B48+2*'AA Exact Masses'!Q$2)/2)</f>
        <v/>
      </c>
      <c r="F48" t="str">
        <f>IF(A48="","",(B48+2*'AA Exact Masses'!Q$3)/2)</f>
        <v/>
      </c>
      <c r="G48" t="str">
        <f>IF(A48="","",(B48+'AA Exact Masses'!Q$2+'AA Exact Masses'!Q$3)/2)</f>
        <v/>
      </c>
      <c r="H48" t="str">
        <f>IF($A48="","",($B48+3*'AA Exact Masses'!$Q$2)/3)</f>
        <v/>
      </c>
      <c r="I48" t="str">
        <f>IF($A48="","",($B48+2*'AA Exact Masses'!$Q$2+'AA Exact Masses'!$Q$3)/3)</f>
        <v/>
      </c>
      <c r="J48" t="str">
        <f>IF($A48="","",($B48+'AA Exact Masses'!$Q$2+2*'AA Exact Masses'!$Q$3)/3)</f>
        <v/>
      </c>
      <c r="K48" t="str">
        <f>IF($A48="","",($B48+3*'AA Exact Masses'!$Q$3)/3)</f>
        <v/>
      </c>
      <c r="L48" s="1"/>
      <c r="M48" s="8" t="str">
        <f t="shared" si="21"/>
        <v/>
      </c>
      <c r="N48" s="3" t="str">
        <f>IF(A48="","",'1st Deletion Fragment'!C48-'Mass Ion Calculations'!$D$5)</f>
        <v/>
      </c>
      <c r="O48" s="3" t="str">
        <f>IF(A48="","",('1st Deletion Fragment'!D48-'Mass Ion Calculations'!$D$5))</f>
        <v/>
      </c>
      <c r="P48" s="3" t="str">
        <f>IF(A48="","",('1st Deletion Fragment'!E48-'Mass Ion Calculations'!$D$5))</f>
        <v/>
      </c>
      <c r="Q48" s="3" t="str">
        <f>IF(A48="","",('1st Deletion Fragment'!F48-'Mass Ion Calculations'!$D$5))</f>
        <v/>
      </c>
      <c r="R48" s="3" t="str">
        <f>IF(A48="","",('1st Deletion Fragment'!G48-'Mass Ion Calculations'!$D$5))</f>
        <v/>
      </c>
      <c r="S48" s="3" t="str">
        <f>IF($A48="","",('1st Deletion Fragment'!H48-'Mass Ion Calculations'!$D$5))</f>
        <v/>
      </c>
      <c r="T48" s="3" t="str">
        <f>IF($A48="","",('1st Deletion Fragment'!I48-'Mass Ion Calculations'!$D$5))</f>
        <v/>
      </c>
      <c r="U48" s="3" t="str">
        <f>IF($A48="","",('1st Deletion Fragment'!J48-'Mass Ion Calculations'!$D$5))</f>
        <v/>
      </c>
      <c r="V48" s="3" t="str">
        <f>IF($A48="","",('1st Deletion Fragment'!K48-'Mass Ion Calculations'!$D$5))</f>
        <v/>
      </c>
      <c r="W48" s="2"/>
    </row>
    <row r="49" spans="1:23" x14ac:dyDescent="0.25">
      <c r="A49" s="4" t="str">
        <f>IF('Mass Ion Calculations'!B49="","",'Mass Ion Calculations'!B49)</f>
        <v/>
      </c>
      <c r="B49" t="str">
        <f>IF(A49="","",IF('Mass Ion Calculations'!$D$6="Yes",IF('Mass Ion Calculations'!$D$7="Yes",'Mass Ion Calculations'!$D$18-'Mass Ion Calculations'!C49,'Mass Ion Calculations'!$F$18-'Mass Ion Calculations'!E49),IF('Mass Ion Calculations'!$D$7="Yes", 'Mass Ion Calculations'!$D$15-'Mass Ion Calculations'!C49,'Mass Ion Calculations'!$F$15-'Mass Ion Calculations'!E49)))</f>
        <v/>
      </c>
      <c r="C49" t="str">
        <f>IF(A49="","",B49+'AA Exact Masses'!Q$2)</f>
        <v/>
      </c>
      <c r="D49" t="str">
        <f>IF(A49="","",B49+'AA Exact Masses'!Q$3)</f>
        <v/>
      </c>
      <c r="E49" t="str">
        <f>IF(A49="","",(B49+2*'AA Exact Masses'!Q$2)/2)</f>
        <v/>
      </c>
      <c r="F49" t="str">
        <f>IF(A49="","",(B49+2*'AA Exact Masses'!Q$3)/2)</f>
        <v/>
      </c>
      <c r="G49" t="str">
        <f>IF(A49="","",(B49+'AA Exact Masses'!Q$2+'AA Exact Masses'!Q$3)/2)</f>
        <v/>
      </c>
      <c r="H49" t="str">
        <f>IF($A49="","",($B49+3*'AA Exact Masses'!$Q$2)/3)</f>
        <v/>
      </c>
      <c r="I49" t="str">
        <f>IF($A49="","",($B49+2*'AA Exact Masses'!$Q$2+'AA Exact Masses'!$Q$3)/3)</f>
        <v/>
      </c>
      <c r="J49" t="str">
        <f>IF($A49="","",($B49+'AA Exact Masses'!$Q$2+2*'AA Exact Masses'!$Q$3)/3)</f>
        <v/>
      </c>
      <c r="K49" t="str">
        <f>IF($A49="","",($B49+3*'AA Exact Masses'!$Q$3)/3)</f>
        <v/>
      </c>
      <c r="L49" s="1"/>
      <c r="M49" s="8" t="str">
        <f t="shared" si="21"/>
        <v/>
      </c>
      <c r="N49" s="3" t="str">
        <f>IF(A49="","",'1st Deletion Fragment'!C49-'Mass Ion Calculations'!$D$5)</f>
        <v/>
      </c>
      <c r="O49" s="3" t="str">
        <f>IF(A49="","",('1st Deletion Fragment'!D49-'Mass Ion Calculations'!$D$5))</f>
        <v/>
      </c>
      <c r="P49" s="3" t="str">
        <f>IF(A49="","",('1st Deletion Fragment'!E49-'Mass Ion Calculations'!$D$5))</f>
        <v/>
      </c>
      <c r="Q49" s="3" t="str">
        <f>IF(A49="","",('1st Deletion Fragment'!F49-'Mass Ion Calculations'!$D$5))</f>
        <v/>
      </c>
      <c r="R49" s="3" t="str">
        <f>IF(A49="","",('1st Deletion Fragment'!G49-'Mass Ion Calculations'!$D$5))</f>
        <v/>
      </c>
      <c r="S49" s="3" t="str">
        <f>IF($A49="","",('1st Deletion Fragment'!H49-'Mass Ion Calculations'!$D$5))</f>
        <v/>
      </c>
      <c r="T49" s="3" t="str">
        <f>IF($A49="","",('1st Deletion Fragment'!I49-'Mass Ion Calculations'!$D$5))</f>
        <v/>
      </c>
      <c r="U49" s="3" t="str">
        <f>IF($A49="","",('1st Deletion Fragment'!J49-'Mass Ion Calculations'!$D$5))</f>
        <v/>
      </c>
      <c r="V49" s="3" t="str">
        <f>IF($A49="","",('1st Deletion Fragment'!K49-'Mass Ion Calculations'!$D$5))</f>
        <v/>
      </c>
      <c r="W49" s="2"/>
    </row>
    <row r="50" spans="1:23" x14ac:dyDescent="0.25">
      <c r="A50" s="4" t="str">
        <f>IF('Mass Ion Calculations'!B50="","",'Mass Ion Calculations'!B50)</f>
        <v/>
      </c>
      <c r="B50" t="str">
        <f>IF(A50="","",IF('Mass Ion Calculations'!$D$6="Yes",IF('Mass Ion Calculations'!$D$7="Yes",'Mass Ion Calculations'!$D$18-'Mass Ion Calculations'!C50,'Mass Ion Calculations'!$F$18-'Mass Ion Calculations'!E50),IF('Mass Ion Calculations'!$D$7="Yes", 'Mass Ion Calculations'!$D$15-'Mass Ion Calculations'!C50,'Mass Ion Calculations'!$F$15-'Mass Ion Calculations'!E50)))</f>
        <v/>
      </c>
      <c r="C50" t="str">
        <f>IF(A50="","",B50+'AA Exact Masses'!Q$2)</f>
        <v/>
      </c>
      <c r="D50" t="str">
        <f>IF(A50="","",B50+'AA Exact Masses'!Q$3)</f>
        <v/>
      </c>
      <c r="E50" t="str">
        <f>IF(A50="","",(B50+2*'AA Exact Masses'!Q$2)/2)</f>
        <v/>
      </c>
      <c r="F50" t="str">
        <f>IF(A50="","",(B50+2*'AA Exact Masses'!Q$3)/2)</f>
        <v/>
      </c>
      <c r="G50" t="str">
        <f>IF(A50="","",(B50+'AA Exact Masses'!Q$2+'AA Exact Masses'!Q$3)/2)</f>
        <v/>
      </c>
      <c r="H50" t="str">
        <f>IF($A50="","",($B50+3*'AA Exact Masses'!$Q$2)/3)</f>
        <v/>
      </c>
      <c r="I50" t="str">
        <f>IF($A50="","",($B50+2*'AA Exact Masses'!$Q$2+'AA Exact Masses'!$Q$3)/3)</f>
        <v/>
      </c>
      <c r="J50" t="str">
        <f>IF($A50="","",($B50+'AA Exact Masses'!$Q$2+2*'AA Exact Masses'!$Q$3)/3)</f>
        <v/>
      </c>
      <c r="K50" t="str">
        <f>IF($A50="","",($B50+3*'AA Exact Masses'!$Q$3)/3)</f>
        <v/>
      </c>
      <c r="L50" s="1"/>
      <c r="M50" s="8" t="str">
        <f t="shared" si="21"/>
        <v/>
      </c>
      <c r="N50" s="3" t="str">
        <f>IF(A50="","",'1st Deletion Fragment'!C50-'Mass Ion Calculations'!$D$5)</f>
        <v/>
      </c>
      <c r="O50" s="3" t="str">
        <f>IF(A50="","",('1st Deletion Fragment'!D50-'Mass Ion Calculations'!$D$5))</f>
        <v/>
      </c>
      <c r="P50" s="3" t="str">
        <f>IF(A50="","",('1st Deletion Fragment'!E50-'Mass Ion Calculations'!$D$5))</f>
        <v/>
      </c>
      <c r="Q50" s="3" t="str">
        <f>IF(A50="","",('1st Deletion Fragment'!F50-'Mass Ion Calculations'!$D$5))</f>
        <v/>
      </c>
      <c r="R50" s="3" t="str">
        <f>IF(A50="","",('1st Deletion Fragment'!G50-'Mass Ion Calculations'!$D$5))</f>
        <v/>
      </c>
      <c r="S50" s="3" t="str">
        <f>IF($A50="","",('1st Deletion Fragment'!H50-'Mass Ion Calculations'!$D$5))</f>
        <v/>
      </c>
      <c r="T50" s="3" t="str">
        <f>IF($A50="","",('1st Deletion Fragment'!I50-'Mass Ion Calculations'!$D$5))</f>
        <v/>
      </c>
      <c r="U50" s="3" t="str">
        <f>IF($A50="","",('1st Deletion Fragment'!J50-'Mass Ion Calculations'!$D$5))</f>
        <v/>
      </c>
      <c r="V50" s="3" t="str">
        <f>IF($A50="","",('1st Deletion Fragment'!K50-'Mass Ion Calculations'!$D$5))</f>
        <v/>
      </c>
      <c r="W50" s="2"/>
    </row>
    <row r="51" spans="1:23" x14ac:dyDescent="0.25">
      <c r="A51" s="4" t="str">
        <f>IF('Mass Ion Calculations'!B51="","",'Mass Ion Calculations'!B51)</f>
        <v/>
      </c>
      <c r="B51" t="str">
        <f>IF(A51="","",IF('Mass Ion Calculations'!$D$6="Yes",IF('Mass Ion Calculations'!$D$7="Yes",'Mass Ion Calculations'!$D$18-'Mass Ion Calculations'!C51,'Mass Ion Calculations'!$F$18-'Mass Ion Calculations'!E51),IF('Mass Ion Calculations'!$D$7="Yes", 'Mass Ion Calculations'!$D$15-'Mass Ion Calculations'!C51,'Mass Ion Calculations'!$F$15-'Mass Ion Calculations'!E51)))</f>
        <v/>
      </c>
      <c r="C51" t="str">
        <f>IF(A51="","",B51+'AA Exact Masses'!Q$2)</f>
        <v/>
      </c>
      <c r="D51" t="str">
        <f>IF(A51="","",B51+'AA Exact Masses'!Q$3)</f>
        <v/>
      </c>
      <c r="E51" t="str">
        <f>IF(A51="","",(B51+2*'AA Exact Masses'!Q$2)/2)</f>
        <v/>
      </c>
      <c r="F51" t="str">
        <f>IF(A51="","",(B51+2*'AA Exact Masses'!Q$3)/2)</f>
        <v/>
      </c>
      <c r="G51" t="str">
        <f>IF(A51="","",(B51+'AA Exact Masses'!Q$2+'AA Exact Masses'!Q$3)/2)</f>
        <v/>
      </c>
      <c r="H51" t="str">
        <f>IF($A51="","",($B51+3*'AA Exact Masses'!$Q$2)/3)</f>
        <v/>
      </c>
      <c r="I51" t="str">
        <f>IF($A51="","",($B51+2*'AA Exact Masses'!$Q$2+'AA Exact Masses'!$Q$3)/3)</f>
        <v/>
      </c>
      <c r="J51" t="str">
        <f>IF($A51="","",($B51+'AA Exact Masses'!$Q$2+2*'AA Exact Masses'!$Q$3)/3)</f>
        <v/>
      </c>
      <c r="K51" t="str">
        <f>IF($A51="","",($B51+3*'AA Exact Masses'!$Q$3)/3)</f>
        <v/>
      </c>
      <c r="L51" s="1"/>
      <c r="M51" s="8" t="str">
        <f t="shared" si="21"/>
        <v/>
      </c>
      <c r="N51" s="3" t="str">
        <f>IF(A51="","",'1st Deletion Fragment'!C51-'Mass Ion Calculations'!$D$5)</f>
        <v/>
      </c>
      <c r="O51" s="3" t="str">
        <f>IF(A51="","",('1st Deletion Fragment'!D51-'Mass Ion Calculations'!$D$5))</f>
        <v/>
      </c>
      <c r="P51" s="3" t="str">
        <f>IF(A51="","",('1st Deletion Fragment'!E51-'Mass Ion Calculations'!$D$5))</f>
        <v/>
      </c>
      <c r="Q51" s="3" t="str">
        <f>IF(A51="","",('1st Deletion Fragment'!F51-'Mass Ion Calculations'!$D$5))</f>
        <v/>
      </c>
      <c r="R51" s="3" t="str">
        <f>IF(A51="","",('1st Deletion Fragment'!G51-'Mass Ion Calculations'!$D$5))</f>
        <v/>
      </c>
      <c r="S51" s="3" t="str">
        <f>IF($A51="","",('1st Deletion Fragment'!H51-'Mass Ion Calculations'!$D$5))</f>
        <v/>
      </c>
      <c r="T51" s="3" t="str">
        <f>IF($A51="","",('1st Deletion Fragment'!I51-'Mass Ion Calculations'!$D$5))</f>
        <v/>
      </c>
      <c r="U51" s="3" t="str">
        <f>IF($A51="","",('1st Deletion Fragment'!J51-'Mass Ion Calculations'!$D$5))</f>
        <v/>
      </c>
      <c r="V51" s="3" t="str">
        <f>IF($A51="","",('1st Deletion Fragment'!K51-'Mass Ion Calculations'!$D$5))</f>
        <v/>
      </c>
      <c r="W51" s="2"/>
    </row>
    <row r="52" spans="1:23" x14ac:dyDescent="0.25">
      <c r="A52" s="4" t="str">
        <f>IF('Mass Ion Calculations'!B52="","",'Mass Ion Calculations'!B52)</f>
        <v/>
      </c>
      <c r="B52" t="str">
        <f>IF(A52="","",IF('Mass Ion Calculations'!$D$6="Yes",IF('Mass Ion Calculations'!$D$7="Yes",'Mass Ion Calculations'!$D$18-'Mass Ion Calculations'!C52,'Mass Ion Calculations'!$F$18-'Mass Ion Calculations'!E52),IF('Mass Ion Calculations'!$D$7="Yes", 'Mass Ion Calculations'!$D$15-'Mass Ion Calculations'!C52,'Mass Ion Calculations'!$F$15-'Mass Ion Calculations'!E52)))</f>
        <v/>
      </c>
      <c r="C52" t="str">
        <f>IF(A52="","",B52+'AA Exact Masses'!Q$2)</f>
        <v/>
      </c>
      <c r="D52" t="str">
        <f>IF(A52="","",B52+'AA Exact Masses'!Q$3)</f>
        <v/>
      </c>
      <c r="E52" t="str">
        <f>IF(A52="","",(B52+2*'AA Exact Masses'!Q$2)/2)</f>
        <v/>
      </c>
      <c r="F52" t="str">
        <f>IF(A52="","",(B52+2*'AA Exact Masses'!Q$3)/2)</f>
        <v/>
      </c>
      <c r="G52" t="str">
        <f>IF(A52="","",(B52+'AA Exact Masses'!Q$2+'AA Exact Masses'!Q$3)/2)</f>
        <v/>
      </c>
      <c r="H52" t="str">
        <f>IF($A52="","",($B52+3*'AA Exact Masses'!$Q$2)/3)</f>
        <v/>
      </c>
      <c r="I52" t="str">
        <f>IF($A52="","",($B52+2*'AA Exact Masses'!$Q$2+'AA Exact Masses'!$Q$3)/3)</f>
        <v/>
      </c>
      <c r="J52" t="str">
        <f>IF($A52="","",($B52+'AA Exact Masses'!$Q$2+2*'AA Exact Masses'!$Q$3)/3)</f>
        <v/>
      </c>
      <c r="K52" t="str">
        <f>IF($A52="","",($B52+3*'AA Exact Masses'!$Q$3)/3)</f>
        <v/>
      </c>
      <c r="L52" s="1"/>
      <c r="M52" s="8" t="str">
        <f t="shared" si="21"/>
        <v/>
      </c>
      <c r="N52" s="3" t="str">
        <f>IF(A52="","",'1st Deletion Fragment'!C52-'Mass Ion Calculations'!$D$5)</f>
        <v/>
      </c>
      <c r="O52" s="3" t="str">
        <f>IF(A52="","",('1st Deletion Fragment'!D52-'Mass Ion Calculations'!$D$5))</f>
        <v/>
      </c>
      <c r="P52" s="3" t="str">
        <f>IF(A52="","",('1st Deletion Fragment'!E52-'Mass Ion Calculations'!$D$5))</f>
        <v/>
      </c>
      <c r="Q52" s="3" t="str">
        <f>IF(A52="","",('1st Deletion Fragment'!F52-'Mass Ion Calculations'!$D$5))</f>
        <v/>
      </c>
      <c r="R52" s="3" t="str">
        <f>IF(A52="","",('1st Deletion Fragment'!G52-'Mass Ion Calculations'!$D$5))</f>
        <v/>
      </c>
      <c r="S52" s="3" t="str">
        <f>IF($A52="","",('1st Deletion Fragment'!H52-'Mass Ion Calculations'!$D$5))</f>
        <v/>
      </c>
      <c r="T52" s="3" t="str">
        <f>IF($A52="","",('1st Deletion Fragment'!I52-'Mass Ion Calculations'!$D$5))</f>
        <v/>
      </c>
      <c r="U52" s="3" t="str">
        <f>IF($A52="","",('1st Deletion Fragment'!J52-'Mass Ion Calculations'!$D$5))</f>
        <v/>
      </c>
      <c r="V52" s="3" t="str">
        <f>IF($A52="","",('1st Deletion Fragment'!K52-'Mass Ion Calculations'!$D$5))</f>
        <v/>
      </c>
      <c r="W52" s="2"/>
    </row>
    <row r="53" spans="1:23" x14ac:dyDescent="0.25">
      <c r="A53" s="4" t="str">
        <f>IF('Mass Ion Calculations'!B53="","",'Mass Ion Calculations'!B53)</f>
        <v/>
      </c>
      <c r="B53" t="str">
        <f>IF(A53="","",IF('Mass Ion Calculations'!$D$6="Yes",IF('Mass Ion Calculations'!$D$7="Yes",'Mass Ion Calculations'!$D$18-'Mass Ion Calculations'!C53,'Mass Ion Calculations'!$F$18-'Mass Ion Calculations'!E53),IF('Mass Ion Calculations'!$D$7="Yes", 'Mass Ion Calculations'!$D$15-'Mass Ion Calculations'!C53,'Mass Ion Calculations'!$F$15-'Mass Ion Calculations'!E53)))</f>
        <v/>
      </c>
      <c r="C53" t="str">
        <f>IF(A53="","",B53+'AA Exact Masses'!Q$2)</f>
        <v/>
      </c>
      <c r="D53" t="str">
        <f>IF(A53="","",B53+'AA Exact Masses'!Q$3)</f>
        <v/>
      </c>
      <c r="E53" t="str">
        <f>IF(A53="","",(B53+2*'AA Exact Masses'!Q$2)/2)</f>
        <v/>
      </c>
      <c r="F53" t="str">
        <f>IF(A53="","",(B53+2*'AA Exact Masses'!Q$3)/2)</f>
        <v/>
      </c>
      <c r="G53" t="str">
        <f>IF(A53="","",(B53+'AA Exact Masses'!Q$2+'AA Exact Masses'!Q$3)/2)</f>
        <v/>
      </c>
      <c r="H53" t="str">
        <f>IF($A53="","",($B53+3*'AA Exact Masses'!$Q$2)/3)</f>
        <v/>
      </c>
      <c r="I53" t="str">
        <f>IF($A53="","",($B53+2*'AA Exact Masses'!$Q$2+'AA Exact Masses'!$Q$3)/3)</f>
        <v/>
      </c>
      <c r="J53" t="str">
        <f>IF($A53="","",($B53+'AA Exact Masses'!$Q$2+2*'AA Exact Masses'!$Q$3)/3)</f>
        <v/>
      </c>
      <c r="K53" t="str">
        <f>IF($A53="","",($B53+3*'AA Exact Masses'!$Q$3)/3)</f>
        <v/>
      </c>
      <c r="L53" s="1"/>
      <c r="M53" s="8" t="str">
        <f t="shared" si="21"/>
        <v/>
      </c>
      <c r="N53" s="3" t="str">
        <f>IF(A53="","",'1st Deletion Fragment'!C53-'Mass Ion Calculations'!$D$5)</f>
        <v/>
      </c>
      <c r="O53" s="3" t="str">
        <f>IF(A53="","",('1st Deletion Fragment'!D53-'Mass Ion Calculations'!$D$5))</f>
        <v/>
      </c>
      <c r="P53" s="3" t="str">
        <f>IF(A53="","",('1st Deletion Fragment'!E53-'Mass Ion Calculations'!$D$5))</f>
        <v/>
      </c>
      <c r="Q53" s="3" t="str">
        <f>IF(A53="","",('1st Deletion Fragment'!F53-'Mass Ion Calculations'!$D$5))</f>
        <v/>
      </c>
      <c r="R53" s="3" t="str">
        <f>IF(A53="","",('1st Deletion Fragment'!G53-'Mass Ion Calculations'!$D$5))</f>
        <v/>
      </c>
      <c r="S53" s="3" t="str">
        <f>IF($A53="","",('1st Deletion Fragment'!H53-'Mass Ion Calculations'!$D$5))</f>
        <v/>
      </c>
      <c r="T53" s="3" t="str">
        <f>IF($A53="","",('1st Deletion Fragment'!I53-'Mass Ion Calculations'!$D$5))</f>
        <v/>
      </c>
      <c r="U53" s="3" t="str">
        <f>IF($A53="","",('1st Deletion Fragment'!J53-'Mass Ion Calculations'!$D$5))</f>
        <v/>
      </c>
      <c r="V53" s="3" t="str">
        <f>IF($A53="","",('1st Deletion Fragment'!K53-'Mass Ion Calculations'!$D$5))</f>
        <v/>
      </c>
      <c r="W53" s="2"/>
    </row>
  </sheetData>
  <conditionalFormatting sqref="N5:V53">
    <cfRule type="cellIs" dxfId="9" priority="2" operator="between">
      <formula>2</formula>
      <formula>-2</formula>
    </cfRule>
  </conditionalFormatting>
  <conditionalFormatting sqref="N5:V53">
    <cfRule type="cellIs" dxfId="8" priority="1" operator="between">
      <formula>2</formula>
      <formula>-2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AA54"/>
  <sheetViews>
    <sheetView topLeftCell="A16" workbookViewId="0">
      <selection activeCell="Q45" sqref="Q45"/>
    </sheetView>
  </sheetViews>
  <sheetFormatPr defaultRowHeight="15" x14ac:dyDescent="0.25"/>
  <cols>
    <col min="1" max="1" width="24.140625" customWidth="1"/>
    <col min="2" max="2" width="12.140625" customWidth="1"/>
    <col min="3" max="3" width="15.42578125" customWidth="1"/>
    <col min="4" max="4" width="18.28515625" customWidth="1"/>
    <col min="5" max="5" width="12.5703125" customWidth="1"/>
    <col min="7" max="7" width="9.140625" customWidth="1"/>
    <col min="8" max="8" width="10.28515625" customWidth="1"/>
    <col min="9" max="14" width="9.140625" customWidth="1"/>
    <col min="15" max="15" width="19.85546875" customWidth="1"/>
    <col min="16" max="18" width="9.140625" customWidth="1"/>
    <col min="19" max="19" width="19" customWidth="1"/>
    <col min="20" max="20" width="18.7109375" customWidth="1"/>
    <col min="21" max="25" width="9.140625" customWidth="1"/>
    <col min="27" max="27" width="9.140625" customWidth="1"/>
  </cols>
  <sheetData>
    <row r="1" spans="1:27" x14ac:dyDescent="0.25">
      <c r="A1" t="s">
        <v>0</v>
      </c>
      <c r="B1" t="s">
        <v>28</v>
      </c>
      <c r="C1" t="s">
        <v>2</v>
      </c>
      <c r="D1" t="s">
        <v>3</v>
      </c>
      <c r="E1" t="s">
        <v>150</v>
      </c>
      <c r="F1" t="s">
        <v>319</v>
      </c>
      <c r="G1" t="s">
        <v>311</v>
      </c>
      <c r="H1" t="s">
        <v>312</v>
      </c>
      <c r="I1" t="s">
        <v>313</v>
      </c>
      <c r="J1" t="s">
        <v>314</v>
      </c>
      <c r="K1" t="s">
        <v>315</v>
      </c>
      <c r="L1" t="s">
        <v>316</v>
      </c>
      <c r="M1" t="s">
        <v>317</v>
      </c>
      <c r="N1" t="s">
        <v>324</v>
      </c>
      <c r="O1" t="s">
        <v>320</v>
      </c>
      <c r="P1" t="s">
        <v>42</v>
      </c>
      <c r="T1" t="s">
        <v>173</v>
      </c>
      <c r="AA1" t="s">
        <v>373</v>
      </c>
    </row>
    <row r="2" spans="1:27" x14ac:dyDescent="0.25">
      <c r="P2" t="s">
        <v>4</v>
      </c>
      <c r="Q2">
        <v>1.0078199999999999</v>
      </c>
      <c r="S2" t="s">
        <v>74</v>
      </c>
      <c r="U2" t="s">
        <v>131</v>
      </c>
      <c r="V2" t="s">
        <v>131</v>
      </c>
      <c r="Y2">
        <v>413.7</v>
      </c>
      <c r="AA2" t="s">
        <v>374</v>
      </c>
    </row>
    <row r="3" spans="1:27" x14ac:dyDescent="0.25">
      <c r="A3" t="s">
        <v>129</v>
      </c>
      <c r="B3" t="s">
        <v>1</v>
      </c>
      <c r="C3">
        <v>71.037109999999998</v>
      </c>
      <c r="D3">
        <v>71.037109999999998</v>
      </c>
      <c r="E3">
        <v>311.33</v>
      </c>
      <c r="G3">
        <v>3</v>
      </c>
      <c r="H3">
        <v>5</v>
      </c>
      <c r="I3">
        <v>1</v>
      </c>
      <c r="J3">
        <v>1</v>
      </c>
      <c r="O3">
        <f>SUM(G3:H3)/SUM(I3:J3)</f>
        <v>4</v>
      </c>
      <c r="P3" t="s">
        <v>30</v>
      </c>
      <c r="Q3">
        <v>22.989799999999999</v>
      </c>
      <c r="S3" t="s">
        <v>75</v>
      </c>
      <c r="T3">
        <f>89.0935-18.01528</f>
        <v>71.078220000000002</v>
      </c>
      <c r="U3" t="s">
        <v>165</v>
      </c>
      <c r="V3" t="s">
        <v>165</v>
      </c>
      <c r="Y3">
        <v>380.23</v>
      </c>
      <c r="AA3" t="s">
        <v>375</v>
      </c>
    </row>
    <row r="4" spans="1:27" x14ac:dyDescent="0.25">
      <c r="A4" t="s">
        <v>132</v>
      </c>
      <c r="B4" t="s">
        <v>34</v>
      </c>
      <c r="C4">
        <f>426.19369-18.01056</f>
        <v>408.18313000000001</v>
      </c>
      <c r="D4">
        <v>156.10111000000001</v>
      </c>
      <c r="E4">
        <v>648.77</v>
      </c>
      <c r="F4">
        <v>1</v>
      </c>
      <c r="G4">
        <v>6</v>
      </c>
      <c r="H4">
        <v>12</v>
      </c>
      <c r="I4">
        <v>4</v>
      </c>
      <c r="J4">
        <v>1</v>
      </c>
      <c r="O4">
        <f t="shared" ref="O4:O52" si="0">SUM(G4:H4)/SUM(I4:J4)</f>
        <v>3.6</v>
      </c>
      <c r="P4" t="s">
        <v>7</v>
      </c>
      <c r="Q4">
        <v>38.963709999999999</v>
      </c>
      <c r="U4" t="s">
        <v>154</v>
      </c>
      <c r="V4" t="s">
        <v>154</v>
      </c>
      <c r="Y4">
        <v>136.11000000000001</v>
      </c>
      <c r="AA4" t="s">
        <v>376</v>
      </c>
    </row>
    <row r="5" spans="1:27" x14ac:dyDescent="0.25">
      <c r="A5" t="s">
        <v>133</v>
      </c>
      <c r="B5" t="s">
        <v>37</v>
      </c>
      <c r="C5">
        <f>374.16304-18.01056</f>
        <v>356.15248000000003</v>
      </c>
      <c r="D5">
        <v>114.04293</v>
      </c>
      <c r="E5">
        <v>596.70000000000005</v>
      </c>
      <c r="G5">
        <v>4</v>
      </c>
      <c r="H5">
        <v>6</v>
      </c>
      <c r="I5">
        <v>2</v>
      </c>
      <c r="J5">
        <v>2</v>
      </c>
      <c r="O5">
        <f>SUM(G5:H5)/SUM(I5:J5)</f>
        <v>2.5</v>
      </c>
      <c r="U5" t="s">
        <v>153</v>
      </c>
      <c r="V5" t="s">
        <v>153</v>
      </c>
      <c r="Y5">
        <v>379.3</v>
      </c>
      <c r="AA5" t="s">
        <v>377</v>
      </c>
    </row>
    <row r="6" spans="1:27" x14ac:dyDescent="0.25">
      <c r="A6" t="s">
        <v>134</v>
      </c>
      <c r="B6" t="s">
        <v>38</v>
      </c>
      <c r="C6">
        <f>189.10011-18.01056</f>
        <v>171.08955</v>
      </c>
      <c r="D6">
        <v>115.02694</v>
      </c>
      <c r="E6">
        <v>411.5</v>
      </c>
      <c r="G6">
        <v>4</v>
      </c>
      <c r="H6">
        <v>5</v>
      </c>
      <c r="I6">
        <v>1</v>
      </c>
      <c r="J6">
        <v>3</v>
      </c>
      <c r="O6">
        <f t="shared" si="0"/>
        <v>2.25</v>
      </c>
      <c r="U6" t="s">
        <v>166</v>
      </c>
      <c r="V6" t="s">
        <v>166</v>
      </c>
      <c r="Y6">
        <v>135.11000000000001</v>
      </c>
    </row>
    <row r="7" spans="1:27" x14ac:dyDescent="0.25">
      <c r="A7" t="s">
        <v>305</v>
      </c>
      <c r="B7" t="s">
        <v>306</v>
      </c>
      <c r="C7">
        <v>131.09970999999999</v>
      </c>
      <c r="D7">
        <v>131.09970999999999</v>
      </c>
      <c r="E7">
        <v>362.4</v>
      </c>
      <c r="G7">
        <v>8</v>
      </c>
      <c r="H7">
        <v>13</v>
      </c>
      <c r="I7">
        <v>1</v>
      </c>
      <c r="J7">
        <v>1</v>
      </c>
      <c r="O7">
        <f t="shared" si="0"/>
        <v>10.5</v>
      </c>
    </row>
    <row r="8" spans="1:27" x14ac:dyDescent="0.25">
      <c r="A8" t="s">
        <v>135</v>
      </c>
      <c r="B8" t="s">
        <v>41</v>
      </c>
      <c r="C8">
        <f>363.1293-18.01056</f>
        <v>345.11874</v>
      </c>
      <c r="D8">
        <v>103.00919</v>
      </c>
      <c r="E8">
        <v>585.72</v>
      </c>
      <c r="G8">
        <v>3</v>
      </c>
      <c r="H8">
        <v>5</v>
      </c>
      <c r="I8">
        <v>1</v>
      </c>
      <c r="J8">
        <v>1</v>
      </c>
      <c r="K8">
        <v>1</v>
      </c>
      <c r="O8">
        <f t="shared" si="0"/>
        <v>4</v>
      </c>
    </row>
    <row r="9" spans="1:27" x14ac:dyDescent="0.25">
      <c r="A9" t="s">
        <v>130</v>
      </c>
      <c r="B9" t="s">
        <v>32</v>
      </c>
      <c r="C9">
        <f>203.11576-18.01056</f>
        <v>185.1052</v>
      </c>
      <c r="D9">
        <v>129.04258999999999</v>
      </c>
      <c r="E9">
        <v>425.5</v>
      </c>
      <c r="G9">
        <v>5</v>
      </c>
      <c r="H9">
        <v>7</v>
      </c>
      <c r="I9">
        <v>1</v>
      </c>
      <c r="J9">
        <v>3</v>
      </c>
      <c r="O9">
        <f t="shared" si="0"/>
        <v>3</v>
      </c>
    </row>
    <row r="10" spans="1:27" x14ac:dyDescent="0.25">
      <c r="A10" t="s">
        <v>136</v>
      </c>
      <c r="B10" t="s">
        <v>35</v>
      </c>
      <c r="C10">
        <f>388.17869-18.01056</f>
        <v>370.16813000000002</v>
      </c>
      <c r="D10">
        <v>128.05858000000001</v>
      </c>
      <c r="E10">
        <v>610.70000000000005</v>
      </c>
      <c r="G10">
        <v>5</v>
      </c>
      <c r="H10">
        <v>8</v>
      </c>
      <c r="I10">
        <v>2</v>
      </c>
      <c r="J10">
        <v>2</v>
      </c>
      <c r="O10">
        <f t="shared" si="0"/>
        <v>3.25</v>
      </c>
    </row>
    <row r="11" spans="1:27" x14ac:dyDescent="0.25">
      <c r="A11" t="s">
        <v>137</v>
      </c>
      <c r="B11" t="s">
        <v>39</v>
      </c>
      <c r="C11">
        <v>57.021459999999998</v>
      </c>
      <c r="D11">
        <v>57.021459999999998</v>
      </c>
      <c r="E11">
        <v>297.3</v>
      </c>
      <c r="G11">
        <v>2</v>
      </c>
      <c r="H11">
        <v>3</v>
      </c>
      <c r="I11">
        <v>1</v>
      </c>
      <c r="J11">
        <v>1</v>
      </c>
      <c r="O11">
        <f t="shared" si="0"/>
        <v>2.5</v>
      </c>
    </row>
    <row r="12" spans="1:27" x14ac:dyDescent="0.25">
      <c r="A12" t="s">
        <v>138</v>
      </c>
      <c r="B12" t="s">
        <v>40</v>
      </c>
      <c r="C12">
        <f>255.12191-18.01056</f>
        <v>237.11135000000002</v>
      </c>
      <c r="D12">
        <v>137.05891</v>
      </c>
      <c r="E12">
        <v>576.70000000000005</v>
      </c>
      <c r="F12">
        <v>1</v>
      </c>
      <c r="G12">
        <v>6</v>
      </c>
      <c r="H12">
        <v>7</v>
      </c>
      <c r="I12">
        <v>3</v>
      </c>
      <c r="J12">
        <v>1</v>
      </c>
      <c r="O12">
        <f t="shared" si="0"/>
        <v>3.25</v>
      </c>
    </row>
    <row r="13" spans="1:27" x14ac:dyDescent="0.25">
      <c r="A13" t="s">
        <v>139</v>
      </c>
      <c r="B13" t="s">
        <v>5</v>
      </c>
      <c r="C13">
        <v>113.08405999999999</v>
      </c>
      <c r="D13">
        <v>113.08405999999999</v>
      </c>
      <c r="E13">
        <v>353.4</v>
      </c>
      <c r="G13">
        <v>6</v>
      </c>
      <c r="H13">
        <v>11</v>
      </c>
      <c r="I13">
        <v>1</v>
      </c>
      <c r="J13">
        <v>1</v>
      </c>
      <c r="O13">
        <f t="shared" si="0"/>
        <v>8.5</v>
      </c>
    </row>
    <row r="14" spans="1:27" x14ac:dyDescent="0.25">
      <c r="A14" t="s">
        <v>126</v>
      </c>
      <c r="B14" t="s">
        <v>6</v>
      </c>
      <c r="C14">
        <v>113.08405999999999</v>
      </c>
      <c r="D14">
        <v>113.08405999999999</v>
      </c>
      <c r="E14">
        <v>353.4</v>
      </c>
      <c r="G14">
        <v>6</v>
      </c>
      <c r="H14">
        <v>11</v>
      </c>
      <c r="I14">
        <v>1</v>
      </c>
      <c r="J14">
        <v>1</v>
      </c>
      <c r="O14">
        <f t="shared" si="0"/>
        <v>8.5</v>
      </c>
    </row>
    <row r="15" spans="1:27" x14ac:dyDescent="0.25">
      <c r="A15" t="s">
        <v>307</v>
      </c>
      <c r="B15" s="55" t="s">
        <v>310</v>
      </c>
      <c r="C15">
        <v>113.08405999999999</v>
      </c>
      <c r="D15">
        <v>113.08405999999999</v>
      </c>
      <c r="E15">
        <v>353.4</v>
      </c>
      <c r="G15">
        <v>6</v>
      </c>
      <c r="H15">
        <v>11</v>
      </c>
      <c r="I15">
        <v>1</v>
      </c>
      <c r="J15">
        <v>1</v>
      </c>
      <c r="O15">
        <f t="shared" si="0"/>
        <v>8.5</v>
      </c>
    </row>
    <row r="16" spans="1:27" x14ac:dyDescent="0.25">
      <c r="A16" t="s">
        <v>125</v>
      </c>
      <c r="B16" t="s">
        <v>57</v>
      </c>
      <c r="C16">
        <f>246.15796-18.01056</f>
        <v>228.1474</v>
      </c>
      <c r="D16">
        <v>128.09495999999999</v>
      </c>
      <c r="E16">
        <v>468.54</v>
      </c>
      <c r="F16">
        <v>1</v>
      </c>
      <c r="G16">
        <v>6</v>
      </c>
      <c r="H16">
        <v>12</v>
      </c>
      <c r="I16">
        <v>2</v>
      </c>
      <c r="J16">
        <v>1</v>
      </c>
      <c r="O16">
        <f t="shared" si="0"/>
        <v>6</v>
      </c>
    </row>
    <row r="17" spans="1:15" x14ac:dyDescent="0.25">
      <c r="A17" t="s">
        <v>140</v>
      </c>
      <c r="B17" t="s">
        <v>149</v>
      </c>
      <c r="C17">
        <f>246.15796-18.01056</f>
        <v>228.1474</v>
      </c>
      <c r="D17">
        <v>128.09495999999999</v>
      </c>
      <c r="E17">
        <v>468.54</v>
      </c>
      <c r="F17">
        <v>1</v>
      </c>
      <c r="G17">
        <v>6</v>
      </c>
      <c r="H17">
        <v>12</v>
      </c>
      <c r="I17">
        <v>2</v>
      </c>
      <c r="J17">
        <v>1</v>
      </c>
      <c r="O17">
        <f t="shared" si="0"/>
        <v>6</v>
      </c>
    </row>
    <row r="18" spans="1:15" x14ac:dyDescent="0.25">
      <c r="A18" t="s">
        <v>571</v>
      </c>
      <c r="B18" t="s">
        <v>58</v>
      </c>
      <c r="C18">
        <f>232.14231-18.01056</f>
        <v>214.13175000000001</v>
      </c>
      <c r="D18">
        <f>132.08988-18.01056</f>
        <v>114.07932</v>
      </c>
      <c r="E18">
        <f t="shared" ref="E18" si="1">C18+258.3-18.01056</f>
        <v>454.42119000000002</v>
      </c>
      <c r="F18">
        <v>1</v>
      </c>
      <c r="G18">
        <v>5</v>
      </c>
      <c r="H18">
        <v>10</v>
      </c>
      <c r="I18">
        <v>2</v>
      </c>
      <c r="J18">
        <v>1</v>
      </c>
      <c r="O18">
        <f t="shared" ref="O18" si="2">SUM(G18:H18)/SUM(I18:J18)</f>
        <v>5</v>
      </c>
    </row>
    <row r="19" spans="1:15" x14ac:dyDescent="0.25">
      <c r="A19" t="s">
        <v>141</v>
      </c>
      <c r="B19" t="s">
        <v>8</v>
      </c>
      <c r="C19">
        <v>131.04049000000001</v>
      </c>
      <c r="D19">
        <v>131.04049000000001</v>
      </c>
      <c r="E19">
        <v>371.46</v>
      </c>
      <c r="G19">
        <v>5</v>
      </c>
      <c r="H19">
        <v>9</v>
      </c>
      <c r="I19">
        <v>1</v>
      </c>
      <c r="J19">
        <v>1</v>
      </c>
      <c r="K19">
        <v>1</v>
      </c>
      <c r="O19">
        <f t="shared" si="0"/>
        <v>7</v>
      </c>
    </row>
    <row r="20" spans="1:15" x14ac:dyDescent="0.25">
      <c r="A20" t="s">
        <v>128</v>
      </c>
      <c r="B20" t="s">
        <v>9</v>
      </c>
      <c r="C20">
        <v>147.06841</v>
      </c>
      <c r="D20">
        <v>147.06841</v>
      </c>
      <c r="E20">
        <v>387.45</v>
      </c>
      <c r="G20">
        <v>9</v>
      </c>
      <c r="H20">
        <v>9</v>
      </c>
      <c r="I20">
        <v>1</v>
      </c>
      <c r="J20">
        <v>1</v>
      </c>
      <c r="O20">
        <f t="shared" si="0"/>
        <v>9</v>
      </c>
    </row>
    <row r="21" spans="1:15" x14ac:dyDescent="0.25">
      <c r="A21" t="s">
        <v>296</v>
      </c>
      <c r="B21" t="s">
        <v>297</v>
      </c>
      <c r="C21">
        <v>224.97892999999999</v>
      </c>
      <c r="D21">
        <v>224.97892999999999</v>
      </c>
      <c r="E21">
        <v>465.05757</v>
      </c>
      <c r="G21">
        <v>9</v>
      </c>
      <c r="H21">
        <v>8</v>
      </c>
      <c r="I21">
        <v>1</v>
      </c>
      <c r="J21">
        <v>1</v>
      </c>
      <c r="L21">
        <v>1</v>
      </c>
      <c r="O21">
        <f t="shared" si="0"/>
        <v>8.5</v>
      </c>
    </row>
    <row r="22" spans="1:15" x14ac:dyDescent="0.25">
      <c r="A22" t="s">
        <v>308</v>
      </c>
      <c r="B22" t="s">
        <v>309</v>
      </c>
      <c r="C22">
        <v>272.96505999999999</v>
      </c>
      <c r="D22">
        <v>272.96505999999999</v>
      </c>
      <c r="E22">
        <v>513.32470000000001</v>
      </c>
      <c r="G22">
        <v>9</v>
      </c>
      <c r="H22">
        <v>8</v>
      </c>
      <c r="I22">
        <v>1</v>
      </c>
      <c r="J22">
        <v>1</v>
      </c>
      <c r="M22">
        <v>1</v>
      </c>
      <c r="O22">
        <f t="shared" si="0"/>
        <v>8.5</v>
      </c>
    </row>
    <row r="23" spans="1:15" x14ac:dyDescent="0.25">
      <c r="A23" t="s">
        <v>327</v>
      </c>
      <c r="B23" t="s">
        <v>328</v>
      </c>
      <c r="C23">
        <v>237.0213</v>
      </c>
      <c r="D23">
        <v>237.0213</v>
      </c>
      <c r="E23">
        <v>477.30160000000001</v>
      </c>
      <c r="G23">
        <v>9</v>
      </c>
      <c r="H23">
        <v>4</v>
      </c>
      <c r="I23">
        <v>1</v>
      </c>
      <c r="J23">
        <v>1</v>
      </c>
      <c r="N23">
        <v>5</v>
      </c>
      <c r="O23">
        <f t="shared" si="0"/>
        <v>6.5</v>
      </c>
    </row>
    <row r="24" spans="1:15" x14ac:dyDescent="0.25">
      <c r="A24" t="s">
        <v>142</v>
      </c>
      <c r="B24" t="s">
        <v>10</v>
      </c>
      <c r="C24">
        <v>97.052760000000006</v>
      </c>
      <c r="D24">
        <v>97.052760000000006</v>
      </c>
      <c r="E24">
        <v>337.4</v>
      </c>
      <c r="G24">
        <v>5</v>
      </c>
      <c r="H24">
        <v>7</v>
      </c>
      <c r="I24">
        <v>1</v>
      </c>
      <c r="J24">
        <v>1</v>
      </c>
      <c r="O24">
        <f t="shared" si="0"/>
        <v>6</v>
      </c>
    </row>
    <row r="25" spans="1:15" x14ac:dyDescent="0.25">
      <c r="A25" t="s">
        <v>151</v>
      </c>
      <c r="B25" t="s">
        <v>104</v>
      </c>
      <c r="C25">
        <f>147.05316-18.01056</f>
        <v>129.04259999999999</v>
      </c>
      <c r="D25">
        <v>87.032030000000006</v>
      </c>
      <c r="E25" t="s">
        <v>152</v>
      </c>
    </row>
    <row r="26" spans="1:15" x14ac:dyDescent="0.25">
      <c r="A26" t="s">
        <v>143</v>
      </c>
      <c r="B26" t="s">
        <v>33</v>
      </c>
      <c r="C26">
        <f>161.10519-18.01056</f>
        <v>143.09463</v>
      </c>
      <c r="D26">
        <v>87.032030000000006</v>
      </c>
      <c r="E26">
        <v>383.4</v>
      </c>
      <c r="G26">
        <v>3</v>
      </c>
      <c r="H26">
        <v>5</v>
      </c>
      <c r="I26">
        <v>1</v>
      </c>
      <c r="J26">
        <v>2</v>
      </c>
      <c r="O26">
        <f t="shared" si="0"/>
        <v>2.6666666666666665</v>
      </c>
    </row>
    <row r="27" spans="1:15" x14ac:dyDescent="0.25">
      <c r="A27" t="s">
        <v>144</v>
      </c>
      <c r="B27" t="s">
        <v>56</v>
      </c>
      <c r="C27">
        <f>175.12084-18.01056</f>
        <v>157.11027999999999</v>
      </c>
      <c r="D27">
        <v>101.04768</v>
      </c>
      <c r="E27">
        <v>397.46</v>
      </c>
      <c r="G27">
        <v>4</v>
      </c>
      <c r="H27">
        <v>7</v>
      </c>
      <c r="I27">
        <v>1</v>
      </c>
      <c r="J27">
        <v>2</v>
      </c>
      <c r="O27">
        <f t="shared" si="0"/>
        <v>3.6666666666666665</v>
      </c>
    </row>
    <row r="28" spans="1:15" x14ac:dyDescent="0.25">
      <c r="A28" t="s">
        <v>145</v>
      </c>
      <c r="B28" t="s">
        <v>11</v>
      </c>
      <c r="C28">
        <v>186.07930999999999</v>
      </c>
      <c r="D28">
        <v>186.07930999999999</v>
      </c>
      <c r="E28">
        <v>426.5</v>
      </c>
      <c r="G28">
        <v>11</v>
      </c>
      <c r="H28">
        <v>10</v>
      </c>
      <c r="I28">
        <v>2</v>
      </c>
      <c r="J28">
        <v>1</v>
      </c>
      <c r="O28">
        <f t="shared" si="0"/>
        <v>7</v>
      </c>
    </row>
    <row r="29" spans="1:15" x14ac:dyDescent="0.25">
      <c r="A29" t="s">
        <v>146</v>
      </c>
      <c r="B29" t="s">
        <v>60</v>
      </c>
      <c r="C29">
        <f>237.13649-18.01056</f>
        <v>219.12593000000001</v>
      </c>
      <c r="D29">
        <v>163.06333000000001</v>
      </c>
      <c r="E29">
        <f t="shared" ref="E29:E52" si="3">C29+258.3-18.01056</f>
        <v>459.41537</v>
      </c>
      <c r="G29">
        <v>9</v>
      </c>
      <c r="H29">
        <v>9</v>
      </c>
      <c r="I29">
        <v>1</v>
      </c>
      <c r="J29">
        <v>2</v>
      </c>
      <c r="O29">
        <f t="shared" si="0"/>
        <v>6</v>
      </c>
    </row>
    <row r="30" spans="1:15" x14ac:dyDescent="0.25">
      <c r="A30" t="s">
        <v>127</v>
      </c>
      <c r="B30" t="s">
        <v>12</v>
      </c>
      <c r="C30">
        <v>99.06841</v>
      </c>
      <c r="D30">
        <v>99.06841</v>
      </c>
      <c r="E30">
        <f t="shared" si="3"/>
        <v>339.35785000000004</v>
      </c>
      <c r="G30">
        <v>5</v>
      </c>
      <c r="H30">
        <v>9</v>
      </c>
      <c r="I30">
        <v>1</v>
      </c>
      <c r="J30">
        <v>1</v>
      </c>
      <c r="O30">
        <f t="shared" si="0"/>
        <v>7</v>
      </c>
    </row>
    <row r="31" spans="1:15" x14ac:dyDescent="0.25">
      <c r="A31" t="s">
        <v>131</v>
      </c>
      <c r="B31" t="s">
        <v>131</v>
      </c>
      <c r="E31">
        <v>413.7</v>
      </c>
    </row>
    <row r="32" spans="1:15" x14ac:dyDescent="0.25">
      <c r="A32" t="s">
        <v>153</v>
      </c>
      <c r="B32" t="s">
        <v>153</v>
      </c>
      <c r="E32">
        <v>379.3</v>
      </c>
    </row>
    <row r="33" spans="1:15" x14ac:dyDescent="0.25">
      <c r="A33" t="s">
        <v>165</v>
      </c>
      <c r="B33" t="s">
        <v>165</v>
      </c>
      <c r="E33">
        <v>380.2</v>
      </c>
    </row>
    <row r="34" spans="1:15" x14ac:dyDescent="0.25">
      <c r="A34" t="s">
        <v>166</v>
      </c>
      <c r="B34" t="s">
        <v>166</v>
      </c>
      <c r="E34">
        <v>135.11000000000001</v>
      </c>
    </row>
    <row r="35" spans="1:15" x14ac:dyDescent="0.25">
      <c r="A35" t="s">
        <v>154</v>
      </c>
      <c r="B35" t="s">
        <v>154</v>
      </c>
      <c r="E35">
        <v>136.11000000000001</v>
      </c>
    </row>
    <row r="36" spans="1:15" x14ac:dyDescent="0.25">
      <c r="A36" t="s">
        <v>490</v>
      </c>
      <c r="B36" t="s">
        <v>490</v>
      </c>
      <c r="C36">
        <v>96.990120000000005</v>
      </c>
      <c r="D36">
        <v>96.990120000000005</v>
      </c>
      <c r="E36" t="s">
        <v>152</v>
      </c>
    </row>
    <row r="37" spans="1:15" x14ac:dyDescent="0.25">
      <c r="A37" t="s">
        <v>569</v>
      </c>
      <c r="B37" t="s">
        <v>569</v>
      </c>
      <c r="C37">
        <v>43.018389999999997</v>
      </c>
      <c r="D37">
        <v>43.018389999999997</v>
      </c>
      <c r="E37" t="s">
        <v>152</v>
      </c>
    </row>
    <row r="38" spans="1:15" x14ac:dyDescent="0.25">
      <c r="A38" t="s">
        <v>97</v>
      </c>
      <c r="B38" t="s">
        <v>97</v>
      </c>
      <c r="C38">
        <f>223.0759-Q2</f>
        <v>222.06807999999998</v>
      </c>
      <c r="D38">
        <f>223.0759-Q2</f>
        <v>222.06807999999998</v>
      </c>
      <c r="E38" t="s">
        <v>152</v>
      </c>
    </row>
    <row r="39" spans="1:15" x14ac:dyDescent="0.25">
      <c r="A39" t="s">
        <v>147</v>
      </c>
      <c r="B39" t="s">
        <v>59</v>
      </c>
      <c r="C39">
        <f>188.11609-18.01056</f>
        <v>170.10553000000002</v>
      </c>
      <c r="D39">
        <f>188.11609-18.01056</f>
        <v>170.10553000000002</v>
      </c>
      <c r="E39">
        <f t="shared" si="3"/>
        <v>410.39497</v>
      </c>
    </row>
    <row r="40" spans="1:15" x14ac:dyDescent="0.25">
      <c r="A40" t="s">
        <v>171</v>
      </c>
      <c r="B40" t="s">
        <v>172</v>
      </c>
      <c r="C40">
        <v>85.052760000000006</v>
      </c>
      <c r="D40">
        <v>85.052760000000006</v>
      </c>
      <c r="E40">
        <v>325.13141000000002</v>
      </c>
      <c r="G40">
        <v>4</v>
      </c>
      <c r="H40">
        <v>7</v>
      </c>
      <c r="I40">
        <v>1</v>
      </c>
      <c r="J40">
        <v>1</v>
      </c>
      <c r="O40">
        <f t="shared" si="0"/>
        <v>5.5</v>
      </c>
    </row>
    <row r="41" spans="1:15" x14ac:dyDescent="0.25">
      <c r="A41" t="s">
        <v>169</v>
      </c>
      <c r="B41" t="s">
        <v>170</v>
      </c>
      <c r="C41">
        <v>71.037109999999998</v>
      </c>
      <c r="D41">
        <v>71.037109999999998</v>
      </c>
      <c r="E41">
        <v>311.11576000000002</v>
      </c>
      <c r="G41">
        <v>3</v>
      </c>
      <c r="H41">
        <v>5</v>
      </c>
      <c r="I41">
        <v>1</v>
      </c>
      <c r="J41">
        <v>1</v>
      </c>
      <c r="O41">
        <f t="shared" si="0"/>
        <v>4</v>
      </c>
    </row>
    <row r="42" spans="1:15" x14ac:dyDescent="0.25">
      <c r="A42" t="s">
        <v>368</v>
      </c>
      <c r="B42" t="s">
        <v>369</v>
      </c>
      <c r="C42">
        <v>127.09971</v>
      </c>
      <c r="D42">
        <v>127.09971</v>
      </c>
      <c r="E42">
        <v>367.43819999999999</v>
      </c>
      <c r="G42">
        <v>7</v>
      </c>
      <c r="H42">
        <v>13</v>
      </c>
      <c r="I42">
        <v>1</v>
      </c>
      <c r="J42">
        <v>1</v>
      </c>
      <c r="O42">
        <f t="shared" ref="O42" si="4">SUM(G42:H42)/SUM(I42:J42)</f>
        <v>10</v>
      </c>
    </row>
    <row r="43" spans="1:15" x14ac:dyDescent="0.25">
      <c r="A43" t="s">
        <v>304</v>
      </c>
      <c r="B43" t="s">
        <v>303</v>
      </c>
      <c r="C43">
        <v>127.09971</v>
      </c>
      <c r="D43">
        <v>127.09971</v>
      </c>
      <c r="E43">
        <v>367.43819999999999</v>
      </c>
      <c r="G43">
        <v>7</v>
      </c>
      <c r="H43">
        <v>13</v>
      </c>
      <c r="I43">
        <v>1</v>
      </c>
      <c r="J43">
        <v>1</v>
      </c>
      <c r="O43">
        <f t="shared" si="0"/>
        <v>10</v>
      </c>
    </row>
    <row r="44" spans="1:15" x14ac:dyDescent="0.25">
      <c r="A44" t="s">
        <v>366</v>
      </c>
      <c r="B44" t="s">
        <v>367</v>
      </c>
      <c r="C44">
        <v>127.09971</v>
      </c>
      <c r="D44">
        <v>127.09971</v>
      </c>
      <c r="E44">
        <v>367.43819999999999</v>
      </c>
      <c r="G44">
        <v>7</v>
      </c>
      <c r="H44">
        <v>13</v>
      </c>
      <c r="I44">
        <v>1</v>
      </c>
      <c r="J44">
        <v>1</v>
      </c>
      <c r="O44">
        <f t="shared" ref="O44" si="5">SUM(G44:H44)/SUM(I44:J44)</f>
        <v>10</v>
      </c>
    </row>
    <row r="45" spans="1:15" x14ac:dyDescent="0.25">
      <c r="A45" t="s">
        <v>299</v>
      </c>
      <c r="B45" t="s">
        <v>300</v>
      </c>
      <c r="C45">
        <v>161.08405999999999</v>
      </c>
      <c r="D45">
        <v>161.08405999999999</v>
      </c>
      <c r="E45">
        <v>401.45422000000002</v>
      </c>
      <c r="G45">
        <v>10</v>
      </c>
      <c r="H45">
        <v>11</v>
      </c>
      <c r="I45">
        <v>1</v>
      </c>
      <c r="J45">
        <v>1</v>
      </c>
      <c r="O45">
        <f t="shared" si="0"/>
        <v>10.5</v>
      </c>
    </row>
    <row r="46" spans="1:15" x14ac:dyDescent="0.25">
      <c r="A46" t="s">
        <v>301</v>
      </c>
      <c r="B46" t="s">
        <v>302</v>
      </c>
      <c r="C46">
        <v>233.14158</v>
      </c>
      <c r="D46">
        <v>177.07898</v>
      </c>
      <c r="E46">
        <v>473.56013999999999</v>
      </c>
      <c r="G46">
        <v>10</v>
      </c>
      <c r="H46">
        <v>11</v>
      </c>
      <c r="I46">
        <v>1</v>
      </c>
      <c r="J46">
        <v>2</v>
      </c>
      <c r="O46">
        <f t="shared" si="0"/>
        <v>7</v>
      </c>
    </row>
    <row r="47" spans="1:15" x14ac:dyDescent="0.25">
      <c r="A47" t="s">
        <v>163</v>
      </c>
      <c r="B47" t="s">
        <v>164</v>
      </c>
      <c r="C47">
        <v>113.08405999999999</v>
      </c>
      <c r="D47">
        <v>113.08405999999999</v>
      </c>
      <c r="E47">
        <f>C47+258.3-18.01056</f>
        <v>353.37349999999998</v>
      </c>
      <c r="G47">
        <v>6</v>
      </c>
      <c r="H47">
        <v>11</v>
      </c>
      <c r="I47">
        <v>1</v>
      </c>
      <c r="J47">
        <v>1</v>
      </c>
      <c r="O47">
        <f t="shared" si="0"/>
        <v>8.5</v>
      </c>
    </row>
    <row r="48" spans="1:15" x14ac:dyDescent="0.25">
      <c r="A48" t="s">
        <v>573</v>
      </c>
      <c r="B48" t="s">
        <v>572</v>
      </c>
      <c r="C48">
        <v>113.08405999999999</v>
      </c>
      <c r="D48">
        <v>113.08405999999999</v>
      </c>
      <c r="E48">
        <f>C48+258.3-18.01056</f>
        <v>353.37349999999998</v>
      </c>
      <c r="G48">
        <v>6</v>
      </c>
      <c r="H48">
        <v>11</v>
      </c>
      <c r="I48">
        <v>1</v>
      </c>
      <c r="J48">
        <v>1</v>
      </c>
      <c r="O48">
        <f t="shared" ref="O48" si="6">SUM(G48:H48)/SUM(I48:J48)</f>
        <v>8.5</v>
      </c>
    </row>
    <row r="49" spans="1:15" x14ac:dyDescent="0.25">
      <c r="A49" t="s">
        <v>112</v>
      </c>
      <c r="B49" t="s">
        <v>58</v>
      </c>
      <c r="C49">
        <f>232.14231-18.01056</f>
        <v>214.13175000000001</v>
      </c>
      <c r="D49">
        <f>132.08988-18.01056</f>
        <v>114.07932</v>
      </c>
      <c r="E49">
        <f t="shared" si="3"/>
        <v>454.42119000000002</v>
      </c>
      <c r="F49">
        <v>1</v>
      </c>
      <c r="G49">
        <v>5</v>
      </c>
      <c r="H49">
        <v>10</v>
      </c>
      <c r="I49">
        <v>2</v>
      </c>
      <c r="J49">
        <v>1</v>
      </c>
      <c r="O49">
        <f t="shared" si="0"/>
        <v>5</v>
      </c>
    </row>
    <row r="50" spans="1:15" x14ac:dyDescent="0.25">
      <c r="A50" t="s">
        <v>380</v>
      </c>
      <c r="B50" t="s">
        <v>381</v>
      </c>
      <c r="C50">
        <f>254.06987-18.01056</f>
        <v>236.05931000000001</v>
      </c>
      <c r="D50">
        <f>253.06987-18.01056</f>
        <v>235.05931000000001</v>
      </c>
      <c r="E50">
        <f t="shared" ref="E50" si="7">C50+258.3-18.01056</f>
        <v>476.34875000000005</v>
      </c>
      <c r="G50">
        <v>10</v>
      </c>
      <c r="H50">
        <v>9</v>
      </c>
      <c r="I50">
        <v>3</v>
      </c>
      <c r="J50">
        <v>4</v>
      </c>
    </row>
    <row r="51" spans="1:15" x14ac:dyDescent="0.25">
      <c r="A51" t="s">
        <v>148</v>
      </c>
      <c r="B51" t="s">
        <v>36</v>
      </c>
      <c r="C51">
        <f>253.06987-18.01056</f>
        <v>235.05931000000001</v>
      </c>
      <c r="D51">
        <f>253.06987-18.01056</f>
        <v>235.05931000000001</v>
      </c>
      <c r="E51">
        <f t="shared" si="3"/>
        <v>475.34875000000005</v>
      </c>
      <c r="G51">
        <v>10</v>
      </c>
      <c r="H51">
        <v>9</v>
      </c>
      <c r="I51">
        <v>3</v>
      </c>
      <c r="J51">
        <v>4</v>
      </c>
      <c r="O51">
        <f t="shared" si="0"/>
        <v>2.7142857142857144</v>
      </c>
    </row>
    <row r="52" spans="1:15" x14ac:dyDescent="0.25">
      <c r="A52" t="s">
        <v>124</v>
      </c>
      <c r="B52" t="s">
        <v>78</v>
      </c>
      <c r="C52">
        <f>559.28937-18.01056</f>
        <v>541.27880999999991</v>
      </c>
      <c r="D52">
        <f>359.18451-18.01056</f>
        <v>341.17394999999999</v>
      </c>
      <c r="E52">
        <f t="shared" si="3"/>
        <v>781.56824999999992</v>
      </c>
      <c r="F52">
        <v>2</v>
      </c>
      <c r="G52">
        <v>19</v>
      </c>
      <c r="H52">
        <v>23</v>
      </c>
      <c r="I52">
        <v>3</v>
      </c>
      <c r="J52">
        <v>3</v>
      </c>
      <c r="O52">
        <f t="shared" si="0"/>
        <v>7</v>
      </c>
    </row>
    <row r="54" spans="1:15" x14ac:dyDescent="0.25">
      <c r="E54" s="12"/>
    </row>
  </sheetData>
  <pageMargins left="0.7" right="0.7" top="0.75" bottom="0.75" header="0.3" footer="0.3"/>
  <pageSetup orientation="portrait" horizontalDpi="3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Z42"/>
  <sheetViews>
    <sheetView workbookViewId="0">
      <selection activeCell="B3" sqref="B3"/>
    </sheetView>
  </sheetViews>
  <sheetFormatPr defaultRowHeight="15" x14ac:dyDescent="0.25"/>
  <sheetData>
    <row r="1" spans="2:26" x14ac:dyDescent="0.25">
      <c r="F1" t="s">
        <v>77</v>
      </c>
      <c r="H1" s="24" t="str">
        <f>IF('Mass Ion Calculations'!$D$6="Yes","Cyclic","Linear")</f>
        <v>Cyclic</v>
      </c>
      <c r="I1" s="24" t="str">
        <f>IF('Mass Ion Calculations'!$D$7="Yes","Protected","Deprotected")</f>
        <v>Deprotected</v>
      </c>
    </row>
    <row r="2" spans="2:26" x14ac:dyDescent="0.25">
      <c r="D2" t="s">
        <v>53</v>
      </c>
    </row>
    <row r="3" spans="2:26" x14ac:dyDescent="0.25">
      <c r="B3" s="4" t="s">
        <v>43</v>
      </c>
      <c r="C3" s="4" t="str">
        <f>IF('Mass Ion Calculations'!$B5="","",'Mass Ion Calculations'!$B5)</f>
        <v>Orn(Boc)</v>
      </c>
      <c r="D3" s="4" t="str">
        <f>IF('Mass Ion Calculations'!$B6="","",'Mass Ion Calculations'!$B6)</f>
        <v>Ala</v>
      </c>
      <c r="E3" s="4" t="str">
        <f>IF('Mass Ion Calculations'!$B7="","",'Mass Ion Calculations'!$B7)</f>
        <v>Ile</v>
      </c>
      <c r="F3" s="4" t="str">
        <f>IF('Mass Ion Calculations'!$B8="","",'Mass Ion Calculations'!$B8)</f>
        <v>Ile</v>
      </c>
      <c r="G3" s="4" t="str">
        <f>IF('Mass Ion Calculations'!$B9="","",'Mass Ion Calculations'!$B9)</f>
        <v>N-Meth-Gly</v>
      </c>
      <c r="H3" s="4" t="str">
        <f>IF('Mass Ion Calculations'!$B10="","",'Mass Ion Calculations'!$B10)</f>
        <v>Leu</v>
      </c>
      <c r="I3" s="4" t="str">
        <f>IF('Mass Ion Calculations'!$B11="","",'Mass Ion Calculations'!$B11)</f>
        <v>Orn(Boc)</v>
      </c>
      <c r="J3" s="4" t="str">
        <f>IF('Mass Ion Calculations'!$B12="","",'Mass Ion Calculations'!$B12)</f>
        <v>Val</v>
      </c>
      <c r="K3" s="4" t="str">
        <f>IF('Mass Ion Calculations'!$B13="","",'Mass Ion Calculations'!$B13)</f>
        <v>Orn(Boc)</v>
      </c>
      <c r="L3" s="4" t="str">
        <f>IF('Mass Ion Calculations'!$B14="","",'Mass Ion Calculations'!$B14)</f>
        <v>Glu(OtBu)</v>
      </c>
      <c r="M3" s="4" t="str">
        <f>IF('Mass Ion Calculations'!$B15="","",'Mass Ion Calculations'!$B15)</f>
        <v>Asp(tBu)</v>
      </c>
      <c r="N3" s="4" t="str">
        <f>IF('Mass Ion Calculations'!$B16="","",'Mass Ion Calculations'!$B16)</f>
        <v>Ala</v>
      </c>
      <c r="O3" s="4" t="str">
        <f>IF('Mass Ion Calculations'!$B17="","",'Mass Ion Calculations'!$B17)</f>
        <v>Phe</v>
      </c>
      <c r="P3" s="4" t="str">
        <f>IF('Mass Ion Calculations'!$B18="","",'Mass Ion Calculations'!$B18)</f>
        <v>Phe-I</v>
      </c>
      <c r="Q3" s="4" t="str">
        <f>IF('Mass Ion Calculations'!$B19="","",'Mass Ion Calculations'!$B19)</f>
        <v>Val</v>
      </c>
      <c r="R3" s="4" t="str">
        <f>IF('Mass Ion Calculations'!$B20="","",'Mass Ion Calculations'!$B20)</f>
        <v>Leu</v>
      </c>
      <c r="S3" s="4" t="str">
        <f>IF('Mass Ion Calculations'!$B21="","",'Mass Ion Calculations'!$B21)</f>
        <v/>
      </c>
      <c r="T3" s="4" t="str">
        <f>IF('Mass Ion Calculations'!$B22="","",'Mass Ion Calculations'!$B22)</f>
        <v>HOAt</v>
      </c>
      <c r="U3" s="4" t="str">
        <f>IF('Mass Ion Calculations'!$B23="","",'Mass Ion Calculations'!$B5)</f>
        <v>Orn(Boc)</v>
      </c>
      <c r="V3" s="4" t="str">
        <f>IF('Mass Ion Calculations'!$B24="","",'Mass Ion Calculations'!$B24)</f>
        <v/>
      </c>
      <c r="W3" s="4" t="str">
        <f>IF('Mass Ion Calculations'!$B25="","",'Mass Ion Calculations'!$B25)</f>
        <v/>
      </c>
      <c r="X3" s="4" t="str">
        <f>IF('Mass Ion Calculations'!$B26="","",'Mass Ion Calculations'!$B26)</f>
        <v/>
      </c>
      <c r="Y3" s="4" t="str">
        <f>IF('Mass Ion Calculations'!$B27="","",'Mass Ion Calculations'!$B27)</f>
        <v/>
      </c>
    </row>
    <row r="4" spans="2:26" x14ac:dyDescent="0.25">
      <c r="B4" s="4" t="str">
        <f>IF('Mass Ion Calculations'!B5="","",'Mass Ion Calculations'!B5)</f>
        <v>Orn(Boc)</v>
      </c>
      <c r="C4" s="3">
        <f>IF(OR($B4="",C$3=""),"",IF('Mass Ion Calculations'!$D$6="Yes",IF('Mass Ion Calculations'!$D$7="Yes",'Mass Ion Calculations'!$D$18+'AA Exact Masses'!$Q$2-'Mass Ion Calculations'!$C$5-'Mass Ion Calculations'!$C5-'Mass Ion Calculations'!$D$5,'Mass Ion Calculations'!$F$18+'AA Exact Masses'!$Q$2-'Mass Ion Calculations'!$E$5-'Mass Ion Calculations'!E5-'Mass Ion Calculations'!$D$5),IF('Mass Ion Calculations'!$D$7="Yes", 'Mass Ion Calculations'!$D$15+'AA Exact Masses'!$Q$2-'Mass Ion Calculations'!$C$5-'Mass Ion Calculations'!$C5-'Mass Ion Calculations'!$D$5,'Mass Ion Calculations'!$F$15+'AA Exact Masses'!$Q$2-'Mass Ion Calculations'!$E$5-'Mass Ion Calculations'!E5-'Mass Ion Calculations'!$D$5)))</f>
        <v>395.77452999999991</v>
      </c>
      <c r="D4" s="3">
        <f>IF(OR($B4="",D$3=""),"",IF('Mass Ion Calculations'!$D$6="Yes",IF('Mass Ion Calculations'!$D$7="Yes",'Mass Ion Calculations'!$D$18+'AA Exact Masses'!$Q$2-'Mass Ion Calculations'!$C$6-'Mass Ion Calculations'!$C5-'Mass Ion Calculations'!$D$5,'Mass Ion Calculations'!$F$18+'AA Exact Masses'!$Q$2-'Mass Ion Calculations'!$E$6-'Mass Ion Calculations'!E5-'Mass Ion Calculations'!$D$5),IF('Mass Ion Calculations'!$D$7="Yes", 'Mass Ion Calculations'!$D$15+'AA Exact Masses'!$Q$2-'Mass Ion Calculations'!$C$6-'Mass Ion Calculations'!$C5-'Mass Ion Calculations'!$D$5,'Mass Ion Calculations'!$F$15+'AA Exact Masses'!$Q$2-'Mass Ion Calculations'!$E$6-'Mass Ion Calculations'!E5-'Mass Ion Calculations'!$D$5)))</f>
        <v>438.81673999999998</v>
      </c>
      <c r="E4" s="3">
        <f>IF(OR($B4="",E$3=""),"",IF('Mass Ion Calculations'!$D$6="Yes",IF('Mass Ion Calculations'!$D$7="Yes",'Mass Ion Calculations'!$D$18+'AA Exact Masses'!$Q$2-'Mass Ion Calculations'!$C$7-'Mass Ion Calculations'!$C5-'Mass Ion Calculations'!$D$5,'Mass Ion Calculations'!$F$18+'AA Exact Masses'!$Q$2-'Mass Ion Calculations'!$E$7-'Mass Ion Calculations'!$E5-'Mass Ion Calculations'!$D$5),IF('Mass Ion Calculations'!$D$7="Yes", 'Mass Ion Calculations'!$D$15+'AA Exact Masses'!$Q$2-'Mass Ion Calculations'!$C$7-'Mass Ion Calculations'!$C5-'Mass Ion Calculations'!$D$5,'Mass Ion Calculations'!$F$15+'AA Exact Masses'!$Q$2-'Mass Ion Calculations'!$E$7-'Mass Ion Calculations'!$E5-'Mass Ion Calculations'!$D$5)))</f>
        <v>396.76979000000006</v>
      </c>
      <c r="F4" s="3">
        <f>IF(OR($B4="",F$3=""),"",IF('Mass Ion Calculations'!$D$6="Yes",IF('Mass Ion Calculations'!$D$7="Yes",'Mass Ion Calculations'!$D$18+'AA Exact Masses'!$Q$2-'Mass Ion Calculations'!$C$8-'Mass Ion Calculations'!$C5-'Mass Ion Calculations'!$D$5,'Mass Ion Calculations'!$F$18+'AA Exact Masses'!$Q$2-'Mass Ion Calculations'!$E$8-'Mass Ion Calculations'!$E5-'Mass Ion Calculations'!$D$5),IF('Mass Ion Calculations'!$D$7="Yes", 'Mass Ion Calculations'!$D$15+'AA Exact Masses'!$Q$2-'Mass Ion Calculations'!$C$8-'Mass Ion Calculations'!$C5-'Mass Ion Calculations'!$D$5,'Mass Ion Calculations'!$F$15+'AA Exact Masses'!$Q$2-'Mass Ion Calculations'!$E$8-'Mass Ion Calculations'!$E5-'Mass Ion Calculations'!$D$5)))</f>
        <v>396.76979000000006</v>
      </c>
      <c r="G4" s="3">
        <f>IF(OR($B4="",G$3=""),"",IF('Mass Ion Calculations'!$D$6="Yes",IF('Mass Ion Calculations'!$D$7="Yes",'Mass Ion Calculations'!$D$18+'AA Exact Masses'!$Q$2-'Mass Ion Calculations'!$C$9-'Mass Ion Calculations'!$C5-'Mass Ion Calculations'!$D$5,'Mass Ion Calculations'!$F$18+'AA Exact Masses'!$Q$2-'Mass Ion Calculations'!$E$9-'Mass Ion Calculations'!$E5-'Mass Ion Calculations'!$D$5),IF('Mass Ion Calculations'!$D$7="Yes", 'Mass Ion Calculations'!$D$15+'AA Exact Masses'!$Q$2-'Mass Ion Calculations'!$C$9-'Mass Ion Calculations'!$C5-'Mass Ion Calculations'!$D$5,'Mass Ion Calculations'!$F$15+'AA Exact Masses'!$Q$2-'Mass Ion Calculations'!$E$9-'Mass Ion Calculations'!$E5-'Mass Ion Calculations'!$D$5)))</f>
        <v>438.81673999999998</v>
      </c>
      <c r="H4" s="3">
        <f>IF(OR($B4="",H$3=""),"",IF('Mass Ion Calculations'!$D$6="Yes",IF('Mass Ion Calculations'!$D$7="Yes",'Mass Ion Calculations'!$D$18+'AA Exact Masses'!$Q$2-'Mass Ion Calculations'!$C$10-'Mass Ion Calculations'!$C5-'Mass Ion Calculations'!$D$5,'Mass Ion Calculations'!$F$18+'AA Exact Masses'!$Q$2-'Mass Ion Calculations'!$E$10-'Mass Ion Calculations'!$E5-'Mass Ion Calculations'!$D$5),IF('Mass Ion Calculations'!$D$7="Yes", 'Mass Ion Calculations'!$D$15+'AA Exact Masses'!$Q$2-'Mass Ion Calculations'!$C$10-'Mass Ion Calculations'!$C5-'Mass Ion Calculations'!$D$5,'Mass Ion Calculations'!$F$15+'AA Exact Masses'!$Q$2-'Mass Ion Calculations'!$E$10-'Mass Ion Calculations'!$E5-'Mass Ion Calculations'!$D$5)))</f>
        <v>396.76979000000006</v>
      </c>
      <c r="I4" s="3">
        <f>IF(OR($B4="",I$3=""),"",IF('Mass Ion Calculations'!$D$6="Yes",IF('Mass Ion Calculations'!$D$7="Yes",'Mass Ion Calculations'!$D$18+'AA Exact Masses'!$Q$2-'Mass Ion Calculations'!$C$11-'Mass Ion Calculations'!$C5-'Mass Ion Calculations'!$D$5,'Mass Ion Calculations'!$F$18+'AA Exact Masses'!$Q$2-'Mass Ion Calculations'!$E$11-'Mass Ion Calculations'!$E5-'Mass Ion Calculations'!$D$5),IF('Mass Ion Calculations'!$D$7="Yes", 'Mass Ion Calculations'!$D$15+'AA Exact Masses'!$Q$2-'Mass Ion Calculations'!$C$11-'Mass Ion Calculations'!$C5-'Mass Ion Calculations'!$D$5,'Mass Ion Calculations'!$F$15+'AA Exact Masses'!$Q$2-'Mass Ion Calculations'!$E$11-'Mass Ion Calculations'!$E5-'Mass Ion Calculations'!$D$5)))</f>
        <v>395.77452999999991</v>
      </c>
      <c r="J4" s="3">
        <f>IF(OR($B4="",J$3=""),"",IF('Mass Ion Calculations'!$D$6="Yes",IF('Mass Ion Calculations'!$D$7="Yes",'Mass Ion Calculations'!$D$18+'AA Exact Masses'!$Q$2-'Mass Ion Calculations'!$C$12-'Mass Ion Calculations'!$C5-'Mass Ion Calculations'!$D$5,'Mass Ion Calculations'!$F$18+'AA Exact Masses'!$Q$2-'Mass Ion Calculations'!$E$12-'Mass Ion Calculations'!$E5-'Mass Ion Calculations'!$D$5),IF('Mass Ion Calculations'!$D$7="Yes", 'Mass Ion Calculations'!$D$15+'AA Exact Masses'!$Q$2-'Mass Ion Calculations'!$C$12-'Mass Ion Calculations'!$C5-'Mass Ion Calculations'!$D$5,'Mass Ion Calculations'!$F$15+'AA Exact Masses'!$Q$2-'Mass Ion Calculations'!$E$12-'Mass Ion Calculations'!$E5-'Mass Ion Calculations'!$D$5)))</f>
        <v>410.78543999999988</v>
      </c>
      <c r="K4" s="3">
        <f>IF(OR($B4="",K$3=""),"",IF('Mass Ion Calculations'!$D$6="Yes",IF('Mass Ion Calculations'!$D$7="Yes",'Mass Ion Calculations'!$D$18+'AA Exact Masses'!$Q$2-'Mass Ion Calculations'!$C$13-'Mass Ion Calculations'!$C5-'Mass Ion Calculations'!$D$5,'Mass Ion Calculations'!$F$18+'AA Exact Masses'!$Q$2-'Mass Ion Calculations'!$E$14-'Mass Ion Calculations'!$E5-'Mass Ion Calculations'!$D$5),IF('Mass Ion Calculations'!$D$7="Yes", 'Mass Ion Calculations'!$D$15+'AA Exact Masses'!$Q$2-'Mass Ion Calculations'!$C$13-'Mass Ion Calculations'!$C5-'Mass Ion Calculations'!$D$5,'Mass Ion Calculations'!$F$15+'AA Exact Masses'!$Q$2-'Mass Ion Calculations'!$E$14-'Mass Ion Calculations'!$E5-'Mass Ion Calculations'!$D$5)))</f>
        <v>380.81125999999995</v>
      </c>
      <c r="L4" s="3">
        <f>IF(OR($B4="",L$3=""),"",IF('Mass Ion Calculations'!$D$6="Yes",IF('Mass Ion Calculations'!$D$7="Yes",'Mass Ion Calculations'!$D$18+'AA Exact Masses'!$Q$2-'Mass Ion Calculations'!$C$14-'Mass Ion Calculations'!$C5-'Mass Ion Calculations'!$D$5,'Mass Ion Calculations'!$F$18+'AA Exact Masses'!$Q$2-'Mass Ion Calculations'!$E$15-'Mass Ion Calculations'!$E5-'Mass Ion Calculations'!$D$5),IF('Mass Ion Calculations'!$D$7="Yes", 'Mass Ion Calculations'!$D$15+'AA Exact Masses'!$Q$2-'Mass Ion Calculations'!$C$14-'Mass Ion Calculations'!$C5-'Mass Ion Calculations'!$D$5,'Mass Ion Calculations'!$F$15+'AA Exact Masses'!$Q$2-'Mass Ion Calculations'!$E$15-'Mass Ion Calculations'!$E5-'Mass Ion Calculations'!$D$5)))</f>
        <v>394.82691</v>
      </c>
      <c r="M4" s="3">
        <f>IF(OR($B4="",M$3=""),"",IF('Mass Ion Calculations'!$D$6="Yes",IF('Mass Ion Calculations'!$D$7="Yes",'Mass Ion Calculations'!$D$18+'AA Exact Masses'!$Q$2-'Mass Ion Calculations'!$C$15-'Mass Ion Calculations'!$C5-'Mass Ion Calculations'!$D$5,'Mass Ion Calculations'!$F$18+'AA Exact Masses'!$Q$2-'Mass Ion Calculations'!$E$16-'Mass Ion Calculations'!$E5-'Mass Ion Calculations'!$D$5),IF('Mass Ion Calculations'!$D$7="Yes", 'Mass Ion Calculations'!$D$15+'AA Exact Masses'!$Q$2-'Mass Ion Calculations'!$C$15-'Mass Ion Calculations'!$C5-'Mass Ion Calculations'!$D$5,'Mass Ion Calculations'!$F$15+'AA Exact Masses'!$Q$2-'Mass Ion Calculations'!$E$16-'Mass Ion Calculations'!$E5-'Mass Ion Calculations'!$D$5)))</f>
        <v>438.81673999999998</v>
      </c>
      <c r="N4" s="3">
        <f>IF(OR($B4="",N$3=""),"",IF('Mass Ion Calculations'!$D$6="Yes",IF('Mass Ion Calculations'!$D$7="Yes",'Mass Ion Calculations'!$D$18+'AA Exact Masses'!$Q$2-'Mass Ion Calculations'!$C$16-'Mass Ion Calculations'!$C5-'Mass Ion Calculations'!$D$5,'Mass Ion Calculations'!$F$18+'AA Exact Masses'!$Q$2-'Mass Ion Calculations'!$E$17-'Mass Ion Calculations'!$E5-'Mass Ion Calculations'!$D$5),IF('Mass Ion Calculations'!$D$7="Yes", 'Mass Ion Calculations'!$D$15+'AA Exact Masses'!$Q$2-'Mass Ion Calculations'!$C$16-'Mass Ion Calculations'!$C5-'Mass Ion Calculations'!$D$5,'Mass Ion Calculations'!$F$15+'AA Exact Masses'!$Q$2-'Mass Ion Calculations'!$E$17-'Mass Ion Calculations'!$E5-'Mass Ion Calculations'!$D$5)))</f>
        <v>362.78543999999988</v>
      </c>
      <c r="O4" s="3">
        <f>IF(OR($B4="",O$3=""),"",IF('Mass Ion Calculations'!$D$6="Yes",IF('Mass Ion Calculations'!$D$7="Yes",'Mass Ion Calculations'!$D$18+'AA Exact Masses'!$Q$2-'Mass Ion Calculations'!$C$17-'Mass Ion Calculations'!$C5-'Mass Ion Calculations'!$D$5,'Mass Ion Calculations'!$F$18+'AA Exact Masses'!$Q$2-'Mass Ion Calculations'!$E$18-'Mass Ion Calculations'!$E5-'Mass Ion Calculations'!$D$5),IF('Mass Ion Calculations'!$D$7="Yes", 'Mass Ion Calculations'!$D$15+'AA Exact Masses'!$Q$2-'Mass Ion Calculations'!$C$17-'Mass Ion Calculations'!$C5-'Mass Ion Calculations'!$D$5,'Mass Ion Calculations'!$F$15+'AA Exact Masses'!$Q$2-'Mass Ion Calculations'!$E$18-'Mass Ion Calculations'!$E5-'Mass Ion Calculations'!$D$5)))</f>
        <v>236.88878999999997</v>
      </c>
      <c r="P4" s="3">
        <f>IF(OR($B4="",P$3=""),"",IF('Mass Ion Calculations'!$D$6="Yes",IF('Mass Ion Calculations'!$D$7="Yes",'Mass Ion Calculations'!$D$18+'AA Exact Masses'!$Q$2-'Mass Ion Calculations'!$C$19-'Mass Ion Calculations'!$C5-'Mass Ion Calculations'!$D$5,'Mass Ion Calculations'!$F$18+'AA Exact Masses'!$Q$2-'Mass Ion Calculations'!$E$19-'Mass Ion Calculations'!$E5-'Mass Ion Calculations'!$D$5),IF('Mass Ion Calculations'!$D$7="Yes", 'Mass Ion Calculations'!$D$15+'AA Exact Masses'!$Q$2-'Mass Ion Calculations'!$C$19-'Mass Ion Calculations'!$C5-'Mass Ion Calculations'!$D$5,'Mass Ion Calculations'!$F$15+'AA Exact Masses'!$Q$2-'Mass Ion Calculations'!$E$19-'Mass Ion Calculations'!$E5-'Mass Ion Calculations'!$D$5)))</f>
        <v>410.78543999999988</v>
      </c>
      <c r="Q4" s="3">
        <f>IF(OR($B4="",Q$3=""),"",IF('Mass Ion Calculations'!$D$6="Yes",IF('Mass Ion Calculations'!$D$7="Yes",'Mass Ion Calculations'!$D$18+'AA Exact Masses'!$Q$2-'Mass Ion Calculations'!$C$20-'Mass Ion Calculations'!$C5-'Mass Ion Calculations'!$D$5,'Mass Ion Calculations'!$F$18+'AA Exact Masses'!$Q$2-'Mass Ion Calculations'!$E$20-'Mass Ion Calculations'!$E5-'Mass Ion Calculations'!$D$5),IF('Mass Ion Calculations'!$D$7="Yes", 'Mass Ion Calculations'!$D$15+'AA Exact Masses'!$Q$2-'Mass Ion Calculations'!$C$20-'Mass Ion Calculations'!$C5-'Mass Ion Calculations'!$D$5,'Mass Ion Calculations'!$F$15+'AA Exact Masses'!$Q$2-'Mass Ion Calculations'!$E$20-'Mass Ion Calculations'!$E5-'Mass Ion Calculations'!$D$5)))</f>
        <v>396.76979000000006</v>
      </c>
      <c r="R4" s="3" t="e">
        <f>IF(OR($B4="",R$3=""),"",IF('Mass Ion Calculations'!$D$6="Yes",IF('Mass Ion Calculations'!$D$7="Yes",'Mass Ion Calculations'!$D$18+'AA Exact Masses'!$Q$2-'Mass Ion Calculations'!$C$21-'Mass Ion Calculations'!$C5-'Mass Ion Calculations'!$D$5,'Mass Ion Calculations'!$F$18+'AA Exact Masses'!$Q$2-'Mass Ion Calculations'!$E$21-'Mass Ion Calculations'!$E5-'Mass Ion Calculations'!$D$5),IF('Mass Ion Calculations'!$D$7="Yes", 'Mass Ion Calculations'!$D$15+'AA Exact Masses'!$Q$2-'Mass Ion Calculations'!$C$21-'Mass Ion Calculations'!$C5-'Mass Ion Calculations'!$D$5,'Mass Ion Calculations'!$F$15+'AA Exact Masses'!$Q$2-'Mass Ion Calculations'!$E$21-'Mass Ion Calculations'!$E5-'Mass Ion Calculations'!$D$5)))</f>
        <v>#VALUE!</v>
      </c>
      <c r="S4" s="3" t="str">
        <f>IF(OR($B4="",S$3=""),"",IF('Mass Ion Calculations'!$D$6="Yes",IF('Mass Ion Calculations'!$D$7="Yes",'Mass Ion Calculations'!$D$18+'AA Exact Masses'!$Q$2-'Mass Ion Calculations'!$C$21-'Mass Ion Calculations'!$C5-'Mass Ion Calculations'!$D$5,'Mass Ion Calculations'!$F$18+'AA Exact Masses'!$Q$2-'Mass Ion Calculations'!$E$21-'Mass Ion Calculations'!$E5-'Mass Ion Calculations'!$D$5),IF('Mass Ion Calculations'!$D$7="Yes", 'Mass Ion Calculations'!$D$15+'AA Exact Masses'!$Q$2-'Mass Ion Calculations'!$C$21-'Mass Ion Calculations'!$C5-'Mass Ion Calculations'!$D$5,'Mass Ion Calculations'!$F$15+'AA Exact Masses'!$Q$2-'Mass Ion Calculations'!$E$21-'Mass Ion Calculations'!$E5-'Mass Ion Calculations'!$D$5)))</f>
        <v/>
      </c>
      <c r="T4" s="3" t="e">
        <f>IF(OR($B4="",T$3=""),"",IF('Mass Ion Calculations'!$D$6="Yes",IF('Mass Ion Calculations'!$D$7="Yes",'Mass Ion Calculations'!$D$18+'AA Exact Masses'!$Q$2-'Mass Ion Calculations'!$C$22-'Mass Ion Calculations'!$C5-'Mass Ion Calculations'!$D$5,'Mass Ion Calculations'!$F$18+'AA Exact Masses'!$Q$2-'Mass Ion Calculations'!$E$22-'Mass Ion Calculations'!$E5-'Mass Ion Calculations'!$D$5),IF('Mass Ion Calculations'!$D$7="Yes", 'Mass Ion Calculations'!$D$15+'AA Exact Masses'!$Q$2-'Mass Ion Calculations'!$C$22-'Mass Ion Calculations'!$C5-'Mass Ion Calculations'!$D$5,'Mass Ion Calculations'!$F$15+'AA Exact Masses'!$Q$2-'Mass Ion Calculations'!$E$22-'Mass Ion Calculations'!$E5-'Mass Ion Calculations'!$D$5)))</f>
        <v>#VALUE!</v>
      </c>
      <c r="U4" s="3" t="e">
        <f>IF(OR($B4="",U$3=""),"",IF('Mass Ion Calculations'!$D$6="Yes",IF('Mass Ion Calculations'!$D$7="Yes",'Mass Ion Calculations'!$D$18+'AA Exact Masses'!$Q$2-'Mass Ion Calculations'!$C$23-'Mass Ion Calculations'!$C5-'Mass Ion Calculations'!$D$5,'Mass Ion Calculations'!$F$18+'AA Exact Masses'!$Q$2-'Mass Ion Calculations'!$E$23-'Mass Ion Calculations'!$E5-'Mass Ion Calculations'!$D$5),IF('Mass Ion Calculations'!$D$7="Yes", 'Mass Ion Calculations'!$D$15+'AA Exact Masses'!$Q$2-'Mass Ion Calculations'!$C$23-'Mass Ion Calculations'!$C5-'Mass Ion Calculations'!$D$5,'Mass Ion Calculations'!$F$15+'AA Exact Masses'!$Q$2-'Mass Ion Calculations'!$E$23-'Mass Ion Calculations'!$E5-'Mass Ion Calculations'!$D$5)))</f>
        <v>#VALUE!</v>
      </c>
      <c r="V4" s="3" t="str">
        <f>IF(OR($B4="",V$3=""),"",IF('Mass Ion Calculations'!$D$6="Yes",IF('Mass Ion Calculations'!$D$7="Yes",'Mass Ion Calculations'!$D$18+'AA Exact Masses'!$Q$2-'Mass Ion Calculations'!$C$24-'Mass Ion Calculations'!$C5-'Mass Ion Calculations'!$D$5,'Mass Ion Calculations'!$F$18+'AA Exact Masses'!$Q$2-'Mass Ion Calculations'!$E$24-'Mass Ion Calculations'!$E5-'Mass Ion Calculations'!$D$5),IF('Mass Ion Calculations'!$D$7="Yes", 'Mass Ion Calculations'!$D$15+'AA Exact Masses'!$Q$2-'Mass Ion Calculations'!$C$24-'Mass Ion Calculations'!$C5-'Mass Ion Calculations'!$D$5,'Mass Ion Calculations'!$F$15+'AA Exact Masses'!$Q$2-'Mass Ion Calculations'!$E$24-'Mass Ion Calculations'!$E5-'Mass Ion Calculations'!$D$5)))</f>
        <v/>
      </c>
      <c r="W4" s="3" t="str">
        <f>IF(OR($B4="",W$3=""),"",IF('Mass Ion Calculations'!$D$6="Yes",IF('Mass Ion Calculations'!$D$7="Yes",'Mass Ion Calculations'!$D$18+'AA Exact Masses'!$Q$2-'Mass Ion Calculations'!$C$25-'Mass Ion Calculations'!$C5-'Mass Ion Calculations'!$D$5,'Mass Ion Calculations'!$F$18+'AA Exact Masses'!$Q$2-'Mass Ion Calculations'!$E$25-'Mass Ion Calculations'!$E5-'Mass Ion Calculations'!$D$5),IF('Mass Ion Calculations'!$D$7="Yes", 'Mass Ion Calculations'!$D$15+'AA Exact Masses'!$Q$2-'Mass Ion Calculations'!$C$25-'Mass Ion Calculations'!$C5-'Mass Ion Calculations'!$D$5,'Mass Ion Calculations'!$F$15+'AA Exact Masses'!$Q$2-'Mass Ion Calculations'!$E$25-'Mass Ion Calculations'!$E5-'Mass Ion Calculations'!$D$5)))</f>
        <v/>
      </c>
      <c r="X4" s="3" t="str">
        <f>IF(OR($B4="",X$3=""),"",IF('Mass Ion Calculations'!$D$6="Yes",IF('Mass Ion Calculations'!$D$7="Yes",'Mass Ion Calculations'!$D$18+'AA Exact Masses'!$Q$2-'Mass Ion Calculations'!$C$26-'Mass Ion Calculations'!$C5-'Mass Ion Calculations'!$D$5,'Mass Ion Calculations'!$F$18+'AA Exact Masses'!$Q$2-'Mass Ion Calculations'!$E$26-'Mass Ion Calculations'!$E5-'Mass Ion Calculations'!$D$5),IF('Mass Ion Calculations'!$D$7="Yes", 'Mass Ion Calculations'!$D$15+'AA Exact Masses'!$Q$2-'Mass Ion Calculations'!$C$26-'Mass Ion Calculations'!$C5-'Mass Ion Calculations'!$D$5,'Mass Ion Calculations'!$F$15+'AA Exact Masses'!$Q$2-'Mass Ion Calculations'!$E$26-'Mass Ion Calculations'!$E5-'Mass Ion Calculations'!$D$5)))</f>
        <v/>
      </c>
      <c r="Y4" s="3" t="str">
        <f>IF(OR($B4="",Y$3=""),"",IF('Mass Ion Calculations'!$D$6="Yes",IF('Mass Ion Calculations'!$D$7="Yes",'Mass Ion Calculations'!$D$18+'AA Exact Masses'!$Q$2-'Mass Ion Calculations'!$C$27-'Mass Ion Calculations'!$C5-'Mass Ion Calculations'!$D$5,'Mass Ion Calculations'!$F$18+'AA Exact Masses'!$Q$2-'Mass Ion Calculations'!$E$27-'Mass Ion Calculations'!$E5-'Mass Ion Calculations'!$D$5),IF('Mass Ion Calculations'!$D$7="Yes", 'Mass Ion Calculations'!$D$15+'AA Exact Masses'!$Q$2-'Mass Ion Calculations'!$C$27-'Mass Ion Calculations'!$C5-'Mass Ion Calculations'!$D$5,'Mass Ion Calculations'!$F$15+'AA Exact Masses'!$Q$2-'Mass Ion Calculations'!$E$27-'Mass Ion Calculations'!$E5-'Mass Ion Calculations'!$D$5)))</f>
        <v/>
      </c>
      <c r="Z4" s="3" t="str">
        <f>IF(OR($B4="",Z$3=""),"",IF('Mass Ion Calculations'!$D$6="Yes",IF('Mass Ion Calculations'!$D$7="Yes",'Mass Ion Calculations'!$D$18+'AA Exact Masses'!$Q$2-'Mass Ion Calculations'!$C$28-'Mass Ion Calculations'!$C5-'Mass Ion Calculations'!$D$5,'Mass Ion Calculations'!$F$18+'AA Exact Masses'!$Q$2-'Mass Ion Calculations'!$E$2-'Mass Ion Calculations'!$E5-'Mass Ion Calculations'!$D$5),IF('Mass Ion Calculations'!$D$7="Yes", 'Mass Ion Calculations'!$D$15+'AA Exact Masses'!$Q$2-'Mass Ion Calculations'!$C$28-'Mass Ion Calculations'!$C5-'Mass Ion Calculations'!$D$5,'Mass Ion Calculations'!$F$15+'AA Exact Masses'!$Q$2-'Mass Ion Calculations'!$E$2-'Mass Ion Calculations'!$E5-'Mass Ion Calculations'!$D$5)))</f>
        <v/>
      </c>
    </row>
    <row r="5" spans="2:26" x14ac:dyDescent="0.25">
      <c r="B5" s="4" t="str">
        <f>IF('Mass Ion Calculations'!B6="","",'Mass Ion Calculations'!B6)</f>
        <v>Ala</v>
      </c>
      <c r="C5" s="3">
        <f>IF(OR($B5="",C$3=""),"",IF('Mass Ion Calculations'!$D$6="Yes",IF('Mass Ion Calculations'!$D$7="Yes",'Mass Ion Calculations'!$D$18+'AA Exact Masses'!$Q$2-'Mass Ion Calculations'!$C$5-'Mass Ion Calculations'!$C6-'Mass Ion Calculations'!$D$5,'Mass Ion Calculations'!$F$18+'AA Exact Masses'!$Q$2-'Mass Ion Calculations'!$E$5-'Mass Ion Calculations'!E6-'Mass Ion Calculations'!$D$5),IF('Mass Ion Calculations'!$D$7="Yes", 'Mass Ion Calculations'!$D$15+'AA Exact Masses'!$Q$2-'Mass Ion Calculations'!$C$5-'Mass Ion Calculations'!$C6-'Mass Ion Calculations'!$D$5,'Mass Ion Calculations'!$F$15+'AA Exact Masses'!$Q$2-'Mass Ion Calculations'!$E$5-'Mass Ion Calculations'!E6-'Mass Ion Calculations'!$D$5)))</f>
        <v>438.81673999999998</v>
      </c>
      <c r="D5" s="3">
        <f>IF(OR($B5="",D$3=""),"",IF('Mass Ion Calculations'!$D$6="Yes",IF('Mass Ion Calculations'!$D$7="Yes",'Mass Ion Calculations'!$D$18+'AA Exact Masses'!$Q$2-'Mass Ion Calculations'!$C$6-'Mass Ion Calculations'!$C6-'Mass Ion Calculations'!$D$5,'Mass Ion Calculations'!$F$18+'AA Exact Masses'!$Q$2-'Mass Ion Calculations'!$E$6-'Mass Ion Calculations'!E6-'Mass Ion Calculations'!$D$5),IF('Mass Ion Calculations'!$D$7="Yes", 'Mass Ion Calculations'!$D$15+'AA Exact Masses'!$Q$2-'Mass Ion Calculations'!$C$6-'Mass Ion Calculations'!$C6-'Mass Ion Calculations'!$D$5,'Mass Ion Calculations'!$F$15+'AA Exact Masses'!$Q$2-'Mass Ion Calculations'!$E$6-'Mass Ion Calculations'!E6-'Mass Ion Calculations'!$D$5)))</f>
        <v>481.85895000000005</v>
      </c>
      <c r="E5" s="3">
        <f>IF(OR($B5="",E$3=""),"",IF('Mass Ion Calculations'!$D$6="Yes",IF('Mass Ion Calculations'!$D$7="Yes",'Mass Ion Calculations'!$D$18+'AA Exact Masses'!$Q$2-'Mass Ion Calculations'!$C$7-'Mass Ion Calculations'!$C6-'Mass Ion Calculations'!$D$5,'Mass Ion Calculations'!$F$18+'AA Exact Masses'!$Q$2-'Mass Ion Calculations'!$E$7-'Mass Ion Calculations'!$E6-'Mass Ion Calculations'!$D$5),IF('Mass Ion Calculations'!$D$7="Yes", 'Mass Ion Calculations'!$D$15+'AA Exact Masses'!$Q$2-'Mass Ion Calculations'!$C$7-'Mass Ion Calculations'!$C6-'Mass Ion Calculations'!$D$5,'Mass Ion Calculations'!$F$15+'AA Exact Masses'!$Q$2-'Mass Ion Calculations'!$E$7-'Mass Ion Calculations'!$E6-'Mass Ion Calculations'!$D$5)))</f>
        <v>439.81200000000013</v>
      </c>
      <c r="F5" s="3">
        <f>IF(OR($B5="",F$3=""),"",IF('Mass Ion Calculations'!$D$6="Yes",IF('Mass Ion Calculations'!$D$7="Yes",'Mass Ion Calculations'!$D$18+'AA Exact Masses'!$Q$2-'Mass Ion Calculations'!$C$8-'Mass Ion Calculations'!$C6-'Mass Ion Calculations'!$D$5,'Mass Ion Calculations'!$F$18+'AA Exact Masses'!$Q$2-'Mass Ion Calculations'!$E$8-'Mass Ion Calculations'!$E6-'Mass Ion Calculations'!$D$5),IF('Mass Ion Calculations'!$D$7="Yes", 'Mass Ion Calculations'!$D$15+'AA Exact Masses'!$Q$2-'Mass Ion Calculations'!$C$8-'Mass Ion Calculations'!$C6-'Mass Ion Calculations'!$D$5,'Mass Ion Calculations'!$F$15+'AA Exact Masses'!$Q$2-'Mass Ion Calculations'!$E$8-'Mass Ion Calculations'!$E6-'Mass Ion Calculations'!$D$5)))</f>
        <v>439.81200000000013</v>
      </c>
      <c r="G5" s="3">
        <f>IF(OR($B5="",G$3=""),"",IF('Mass Ion Calculations'!$D$6="Yes",IF('Mass Ion Calculations'!$D$7="Yes",'Mass Ion Calculations'!$D$18+'AA Exact Masses'!$Q$2-'Mass Ion Calculations'!$C$9-'Mass Ion Calculations'!$C6-'Mass Ion Calculations'!$D$5,'Mass Ion Calculations'!$F$18+'AA Exact Masses'!$Q$2-'Mass Ion Calculations'!$E$9-'Mass Ion Calculations'!$E6-'Mass Ion Calculations'!$D$5),IF('Mass Ion Calculations'!$D$7="Yes", 'Mass Ion Calculations'!$D$15+'AA Exact Masses'!$Q$2-'Mass Ion Calculations'!$C$9-'Mass Ion Calculations'!$C6-'Mass Ion Calculations'!$D$5,'Mass Ion Calculations'!$F$15+'AA Exact Masses'!$Q$2-'Mass Ion Calculations'!$E$9-'Mass Ion Calculations'!$E6-'Mass Ion Calculations'!$D$5)))</f>
        <v>481.85895000000005</v>
      </c>
      <c r="H5" s="3">
        <f>IF(OR($B5="",H$3=""),"",IF('Mass Ion Calculations'!$D$6="Yes",IF('Mass Ion Calculations'!$D$7="Yes",'Mass Ion Calculations'!$D$18+'AA Exact Masses'!$Q$2-'Mass Ion Calculations'!$C$10-'Mass Ion Calculations'!$C6-'Mass Ion Calculations'!$D$5,'Mass Ion Calculations'!$F$18+'AA Exact Masses'!$Q$2-'Mass Ion Calculations'!$E$10-'Mass Ion Calculations'!$E6-'Mass Ion Calculations'!$D$5),IF('Mass Ion Calculations'!$D$7="Yes", 'Mass Ion Calculations'!$D$15+'AA Exact Masses'!$Q$2-'Mass Ion Calculations'!$C$10-'Mass Ion Calculations'!$C6-'Mass Ion Calculations'!$D$5,'Mass Ion Calculations'!$F$15+'AA Exact Masses'!$Q$2-'Mass Ion Calculations'!$E$10-'Mass Ion Calculations'!$E6-'Mass Ion Calculations'!$D$5)))</f>
        <v>439.81200000000013</v>
      </c>
      <c r="I5" s="3">
        <f>IF(OR($B5="",I$3=""),"",IF('Mass Ion Calculations'!$D$6="Yes",IF('Mass Ion Calculations'!$D$7="Yes",'Mass Ion Calculations'!$D$18+'AA Exact Masses'!$Q$2-'Mass Ion Calculations'!$C$11-'Mass Ion Calculations'!$C6-'Mass Ion Calculations'!$D$5,'Mass Ion Calculations'!$F$18+'AA Exact Masses'!$Q$2-'Mass Ion Calculations'!$E$11-'Mass Ion Calculations'!$E6-'Mass Ion Calculations'!$D$5),IF('Mass Ion Calculations'!$D$7="Yes", 'Mass Ion Calculations'!$D$15+'AA Exact Masses'!$Q$2-'Mass Ion Calculations'!$C$11-'Mass Ion Calculations'!$C6-'Mass Ion Calculations'!$D$5,'Mass Ion Calculations'!$F$15+'AA Exact Masses'!$Q$2-'Mass Ion Calculations'!$E$11-'Mass Ion Calculations'!$E6-'Mass Ion Calculations'!$D$5)))</f>
        <v>438.81673999999998</v>
      </c>
      <c r="J5" s="3">
        <f>IF(OR($B5="",J$3=""),"",IF('Mass Ion Calculations'!$D$6="Yes",IF('Mass Ion Calculations'!$D$7="Yes",'Mass Ion Calculations'!$D$18+'AA Exact Masses'!$Q$2-'Mass Ion Calculations'!$C$12-'Mass Ion Calculations'!$C6-'Mass Ion Calculations'!$D$5,'Mass Ion Calculations'!$F$18+'AA Exact Masses'!$Q$2-'Mass Ion Calculations'!$E$12-'Mass Ion Calculations'!$E6-'Mass Ion Calculations'!$D$5),IF('Mass Ion Calculations'!$D$7="Yes", 'Mass Ion Calculations'!$D$15+'AA Exact Masses'!$Q$2-'Mass Ion Calculations'!$C$12-'Mass Ion Calculations'!$C6-'Mass Ion Calculations'!$D$5,'Mass Ion Calculations'!$F$15+'AA Exact Masses'!$Q$2-'Mass Ion Calculations'!$E$12-'Mass Ion Calculations'!$E6-'Mass Ion Calculations'!$D$5)))</f>
        <v>453.82764999999995</v>
      </c>
      <c r="K5" s="3">
        <f>IF(OR($B5="",K$3=""),"",IF('Mass Ion Calculations'!$D$6="Yes",IF('Mass Ion Calculations'!$D$7="Yes",'Mass Ion Calculations'!$D$18+'AA Exact Masses'!$Q$2-'Mass Ion Calculations'!$C$13-'Mass Ion Calculations'!$C6-'Mass Ion Calculations'!$D$5,'Mass Ion Calculations'!$F$18+'AA Exact Masses'!$Q$2-'Mass Ion Calculations'!$E$14-'Mass Ion Calculations'!$E6-'Mass Ion Calculations'!$D$5),IF('Mass Ion Calculations'!$D$7="Yes", 'Mass Ion Calculations'!$D$15+'AA Exact Masses'!$Q$2-'Mass Ion Calculations'!$C$13-'Mass Ion Calculations'!$C6-'Mass Ion Calculations'!$D$5,'Mass Ion Calculations'!$F$15+'AA Exact Masses'!$Q$2-'Mass Ion Calculations'!$E$14-'Mass Ion Calculations'!$E6-'Mass Ion Calculations'!$D$5)))</f>
        <v>423.85347000000002</v>
      </c>
      <c r="L5" s="3">
        <f>IF(OR($B5="",L$3=""),"",IF('Mass Ion Calculations'!$D$6="Yes",IF('Mass Ion Calculations'!$D$7="Yes",'Mass Ion Calculations'!$D$18+'AA Exact Masses'!$Q$2-'Mass Ion Calculations'!$C$14-'Mass Ion Calculations'!$C6-'Mass Ion Calculations'!$D$5,'Mass Ion Calculations'!$F$18+'AA Exact Masses'!$Q$2-'Mass Ion Calculations'!$E$15-'Mass Ion Calculations'!$E6-'Mass Ion Calculations'!$D$5),IF('Mass Ion Calculations'!$D$7="Yes", 'Mass Ion Calculations'!$D$15+'AA Exact Masses'!$Q$2-'Mass Ion Calculations'!$C$14-'Mass Ion Calculations'!$C6-'Mass Ion Calculations'!$D$5,'Mass Ion Calculations'!$F$15+'AA Exact Masses'!$Q$2-'Mass Ion Calculations'!$E$15-'Mass Ion Calculations'!$E6-'Mass Ion Calculations'!$D$5)))</f>
        <v>437.86912000000007</v>
      </c>
      <c r="M5" s="3">
        <f>IF(OR($B5="",M$3=""),"",IF('Mass Ion Calculations'!$D$6="Yes",IF('Mass Ion Calculations'!$D$7="Yes",'Mass Ion Calculations'!$D$18+'AA Exact Masses'!$Q$2-'Mass Ion Calculations'!$C$15-'Mass Ion Calculations'!$C6-'Mass Ion Calculations'!$D$5,'Mass Ion Calculations'!$F$18+'AA Exact Masses'!$Q$2-'Mass Ion Calculations'!$E$16-'Mass Ion Calculations'!$E6-'Mass Ion Calculations'!$D$5),IF('Mass Ion Calculations'!$D$7="Yes", 'Mass Ion Calculations'!$D$15+'AA Exact Masses'!$Q$2-'Mass Ion Calculations'!$C$15-'Mass Ion Calculations'!$C6-'Mass Ion Calculations'!$D$5,'Mass Ion Calculations'!$F$15+'AA Exact Masses'!$Q$2-'Mass Ion Calculations'!$E$16-'Mass Ion Calculations'!$E6-'Mass Ion Calculations'!$D$5)))</f>
        <v>481.85895000000005</v>
      </c>
      <c r="N5" s="3">
        <f>IF(OR($B5="",N$3=""),"",IF('Mass Ion Calculations'!$D$6="Yes",IF('Mass Ion Calculations'!$D$7="Yes",'Mass Ion Calculations'!$D$18+'AA Exact Masses'!$Q$2-'Mass Ion Calculations'!$C$16-'Mass Ion Calculations'!$C6-'Mass Ion Calculations'!$D$5,'Mass Ion Calculations'!$F$18+'AA Exact Masses'!$Q$2-'Mass Ion Calculations'!$E$17-'Mass Ion Calculations'!$E6-'Mass Ion Calculations'!$D$5),IF('Mass Ion Calculations'!$D$7="Yes", 'Mass Ion Calculations'!$D$15+'AA Exact Masses'!$Q$2-'Mass Ion Calculations'!$C$16-'Mass Ion Calculations'!$C6-'Mass Ion Calculations'!$D$5,'Mass Ion Calculations'!$F$15+'AA Exact Masses'!$Q$2-'Mass Ion Calculations'!$E$17-'Mass Ion Calculations'!$E6-'Mass Ion Calculations'!$D$5)))</f>
        <v>405.82764999999995</v>
      </c>
      <c r="O5" s="3">
        <f>IF(OR($B5="",O$3=""),"",IF('Mass Ion Calculations'!$D$6="Yes",IF('Mass Ion Calculations'!$D$7="Yes",'Mass Ion Calculations'!$D$18+'AA Exact Masses'!$Q$2-'Mass Ion Calculations'!$C$17-'Mass Ion Calculations'!$C6-'Mass Ion Calculations'!$D$5,'Mass Ion Calculations'!$F$18+'AA Exact Masses'!$Q$2-'Mass Ion Calculations'!$E$18-'Mass Ion Calculations'!$E6-'Mass Ion Calculations'!$D$5),IF('Mass Ion Calculations'!$D$7="Yes", 'Mass Ion Calculations'!$D$15+'AA Exact Masses'!$Q$2-'Mass Ion Calculations'!$C$17-'Mass Ion Calculations'!$C6-'Mass Ion Calculations'!$D$5,'Mass Ion Calculations'!$F$15+'AA Exact Masses'!$Q$2-'Mass Ion Calculations'!$E$18-'Mass Ion Calculations'!$E6-'Mass Ion Calculations'!$D$5)))</f>
        <v>279.93100000000004</v>
      </c>
      <c r="P5" s="3">
        <f>IF(OR($B5="",P$3=""),"",IF('Mass Ion Calculations'!$D$6="Yes",IF('Mass Ion Calculations'!$D$7="Yes",'Mass Ion Calculations'!$D$18+'AA Exact Masses'!$Q$2-'Mass Ion Calculations'!$C$19-'Mass Ion Calculations'!$C6-'Mass Ion Calculations'!$D$5,'Mass Ion Calculations'!$F$18+'AA Exact Masses'!$Q$2-'Mass Ion Calculations'!$E$19-'Mass Ion Calculations'!$E6-'Mass Ion Calculations'!$D$5),IF('Mass Ion Calculations'!$D$7="Yes", 'Mass Ion Calculations'!$D$15+'AA Exact Masses'!$Q$2-'Mass Ion Calculations'!$C$19-'Mass Ion Calculations'!$C6-'Mass Ion Calculations'!$D$5,'Mass Ion Calculations'!$F$15+'AA Exact Masses'!$Q$2-'Mass Ion Calculations'!$E$19-'Mass Ion Calculations'!$E6-'Mass Ion Calculations'!$D$5)))</f>
        <v>453.82764999999995</v>
      </c>
      <c r="Q5" s="3">
        <f>IF(OR($B5="",Q$3=""),"",IF('Mass Ion Calculations'!$D$6="Yes",IF('Mass Ion Calculations'!$D$7="Yes",'Mass Ion Calculations'!$D$18+'AA Exact Masses'!$Q$2-'Mass Ion Calculations'!$C$20-'Mass Ion Calculations'!$C6-'Mass Ion Calculations'!$D$5,'Mass Ion Calculations'!$F$18+'AA Exact Masses'!$Q$2-'Mass Ion Calculations'!$E$20-'Mass Ion Calculations'!$E6-'Mass Ion Calculations'!$D$5),IF('Mass Ion Calculations'!$D$7="Yes", 'Mass Ion Calculations'!$D$15+'AA Exact Masses'!$Q$2-'Mass Ion Calculations'!$C$20-'Mass Ion Calculations'!$C6-'Mass Ion Calculations'!$D$5,'Mass Ion Calculations'!$F$15+'AA Exact Masses'!$Q$2-'Mass Ion Calculations'!$E$20-'Mass Ion Calculations'!$E6-'Mass Ion Calculations'!$D$5)))</f>
        <v>439.81200000000013</v>
      </c>
      <c r="R5" s="3" t="e">
        <f>IF(OR($B5="",R$3=""),"",IF('Mass Ion Calculations'!$D$6="Yes",IF('Mass Ion Calculations'!$D$7="Yes",'Mass Ion Calculations'!$D$18+'AA Exact Masses'!$Q$2-'Mass Ion Calculations'!$C$21-'Mass Ion Calculations'!$C6-'Mass Ion Calculations'!$D$5,'Mass Ion Calculations'!$F$18+'AA Exact Masses'!$Q$2-'Mass Ion Calculations'!$E$21-'Mass Ion Calculations'!$E6-'Mass Ion Calculations'!$D$5),IF('Mass Ion Calculations'!$D$7="Yes", 'Mass Ion Calculations'!$D$15+'AA Exact Masses'!$Q$2-'Mass Ion Calculations'!$C$21-'Mass Ion Calculations'!$C6-'Mass Ion Calculations'!$D$5,'Mass Ion Calculations'!$F$15+'AA Exact Masses'!$Q$2-'Mass Ion Calculations'!$E$21-'Mass Ion Calculations'!$E6-'Mass Ion Calculations'!$D$5)))</f>
        <v>#VALUE!</v>
      </c>
      <c r="S5" s="3" t="str">
        <f>IF(OR($B5="",S$3=""),"",IF('Mass Ion Calculations'!$D$6="Yes",IF('Mass Ion Calculations'!$D$7="Yes",'Mass Ion Calculations'!$D$18+'AA Exact Masses'!$Q$2-'Mass Ion Calculations'!$C$21-'Mass Ion Calculations'!$C6-'Mass Ion Calculations'!$D$5,'Mass Ion Calculations'!$F$18+'AA Exact Masses'!$Q$2-'Mass Ion Calculations'!$E$21-'Mass Ion Calculations'!$E6-'Mass Ion Calculations'!$D$5),IF('Mass Ion Calculations'!$D$7="Yes", 'Mass Ion Calculations'!$D$15+'AA Exact Masses'!$Q$2-'Mass Ion Calculations'!$C$21-'Mass Ion Calculations'!$C6-'Mass Ion Calculations'!$D$5,'Mass Ion Calculations'!$F$15+'AA Exact Masses'!$Q$2-'Mass Ion Calculations'!$E$21-'Mass Ion Calculations'!$E6-'Mass Ion Calculations'!$D$5)))</f>
        <v/>
      </c>
      <c r="T5" s="3" t="e">
        <f>IF(OR($B5="",T$3=""),"",IF('Mass Ion Calculations'!$D$6="Yes",IF('Mass Ion Calculations'!$D$7="Yes",'Mass Ion Calculations'!$D$18+'AA Exact Masses'!$Q$2-'Mass Ion Calculations'!$C$22-'Mass Ion Calculations'!$C6-'Mass Ion Calculations'!$D$5,'Mass Ion Calculations'!$F$18+'AA Exact Masses'!$Q$2-'Mass Ion Calculations'!$E$22-'Mass Ion Calculations'!$E6-'Mass Ion Calculations'!$D$5),IF('Mass Ion Calculations'!$D$7="Yes", 'Mass Ion Calculations'!$D$15+'AA Exact Masses'!$Q$2-'Mass Ion Calculations'!$C$22-'Mass Ion Calculations'!$C6-'Mass Ion Calculations'!$D$5,'Mass Ion Calculations'!$F$15+'AA Exact Masses'!$Q$2-'Mass Ion Calculations'!$E$22-'Mass Ion Calculations'!$E6-'Mass Ion Calculations'!$D$5)))</f>
        <v>#VALUE!</v>
      </c>
      <c r="U5" s="3" t="e">
        <f>IF(OR($B5="",U$3=""),"",IF('Mass Ion Calculations'!$D$6="Yes",IF('Mass Ion Calculations'!$D$7="Yes",'Mass Ion Calculations'!$D$18+'AA Exact Masses'!$Q$2-'Mass Ion Calculations'!$C$23-'Mass Ion Calculations'!$C6-'Mass Ion Calculations'!$D$5,'Mass Ion Calculations'!$F$18+'AA Exact Masses'!$Q$2-'Mass Ion Calculations'!$E$23-'Mass Ion Calculations'!$E6-'Mass Ion Calculations'!$D$5),IF('Mass Ion Calculations'!$D$7="Yes", 'Mass Ion Calculations'!$D$15+'AA Exact Masses'!$Q$2-'Mass Ion Calculations'!$C$23-'Mass Ion Calculations'!$C6-'Mass Ion Calculations'!$D$5,'Mass Ion Calculations'!$F$15+'AA Exact Masses'!$Q$2-'Mass Ion Calculations'!$E$23-'Mass Ion Calculations'!$E6-'Mass Ion Calculations'!$D$5)))</f>
        <v>#VALUE!</v>
      </c>
      <c r="V5" s="3" t="str">
        <f>IF(OR($B5="",V$3=""),"",IF('Mass Ion Calculations'!$D$6="Yes",IF('Mass Ion Calculations'!$D$7="Yes",'Mass Ion Calculations'!$D$18+'AA Exact Masses'!$Q$2-'Mass Ion Calculations'!$C$24-'Mass Ion Calculations'!$C6-'Mass Ion Calculations'!$D$5,'Mass Ion Calculations'!$F$18+'AA Exact Masses'!$Q$2-'Mass Ion Calculations'!$E$24-'Mass Ion Calculations'!$E6-'Mass Ion Calculations'!$D$5),IF('Mass Ion Calculations'!$D$7="Yes", 'Mass Ion Calculations'!$D$15+'AA Exact Masses'!$Q$2-'Mass Ion Calculations'!$C$24-'Mass Ion Calculations'!$C6-'Mass Ion Calculations'!$D$5,'Mass Ion Calculations'!$F$15+'AA Exact Masses'!$Q$2-'Mass Ion Calculations'!$E$24-'Mass Ion Calculations'!$E6-'Mass Ion Calculations'!$D$5)))</f>
        <v/>
      </c>
      <c r="W5" s="3" t="str">
        <f>IF(OR($B5="",W$3=""),"",IF('Mass Ion Calculations'!$D$6="Yes",IF('Mass Ion Calculations'!$D$7="Yes",'Mass Ion Calculations'!$D$18+'AA Exact Masses'!$Q$2-'Mass Ion Calculations'!$C$25-'Mass Ion Calculations'!$C6-'Mass Ion Calculations'!$D$5,'Mass Ion Calculations'!$F$18+'AA Exact Masses'!$Q$2-'Mass Ion Calculations'!$E$25-'Mass Ion Calculations'!$E6-'Mass Ion Calculations'!$D$5),IF('Mass Ion Calculations'!$D$7="Yes", 'Mass Ion Calculations'!$D$15+'AA Exact Masses'!$Q$2-'Mass Ion Calculations'!$C$25-'Mass Ion Calculations'!$C6-'Mass Ion Calculations'!$D$5,'Mass Ion Calculations'!$F$15+'AA Exact Masses'!$Q$2-'Mass Ion Calculations'!$E$25-'Mass Ion Calculations'!$E6-'Mass Ion Calculations'!$D$5)))</f>
        <v/>
      </c>
      <c r="X5" s="3" t="str">
        <f>IF(OR($B5="",X$3=""),"",IF('Mass Ion Calculations'!$D$6="Yes",IF('Mass Ion Calculations'!$D$7="Yes",'Mass Ion Calculations'!$D$18+'AA Exact Masses'!$Q$2-'Mass Ion Calculations'!$C$26-'Mass Ion Calculations'!$C6-'Mass Ion Calculations'!$D$5,'Mass Ion Calculations'!$F$18+'AA Exact Masses'!$Q$2-'Mass Ion Calculations'!$E$26-'Mass Ion Calculations'!$E6-'Mass Ion Calculations'!$D$5),IF('Mass Ion Calculations'!$D$7="Yes", 'Mass Ion Calculations'!$D$15+'AA Exact Masses'!$Q$2-'Mass Ion Calculations'!$C$26-'Mass Ion Calculations'!$C6-'Mass Ion Calculations'!$D$5,'Mass Ion Calculations'!$F$15+'AA Exact Masses'!$Q$2-'Mass Ion Calculations'!$E$26-'Mass Ion Calculations'!$E6-'Mass Ion Calculations'!$D$5)))</f>
        <v/>
      </c>
      <c r="Y5" s="3" t="str">
        <f>IF(OR($B5="",Y$3=""),"",IF('Mass Ion Calculations'!$D$6="Yes",IF('Mass Ion Calculations'!$D$7="Yes",'Mass Ion Calculations'!$D$18+'AA Exact Masses'!$Q$2-'Mass Ion Calculations'!$C$27-'Mass Ion Calculations'!$C6-'Mass Ion Calculations'!$D$5,'Mass Ion Calculations'!$F$18+'AA Exact Masses'!$Q$2-'Mass Ion Calculations'!$E$27-'Mass Ion Calculations'!$E6-'Mass Ion Calculations'!$D$5),IF('Mass Ion Calculations'!$D$7="Yes", 'Mass Ion Calculations'!$D$15+'AA Exact Masses'!$Q$2-'Mass Ion Calculations'!$C$27-'Mass Ion Calculations'!$C6-'Mass Ion Calculations'!$D$5,'Mass Ion Calculations'!$F$15+'AA Exact Masses'!$Q$2-'Mass Ion Calculations'!$E$27-'Mass Ion Calculations'!$E6-'Mass Ion Calculations'!$D$5)))</f>
        <v/>
      </c>
      <c r="Z5" s="3" t="str">
        <f>IF(OR($B5="",Z$3=""),"",IF('Mass Ion Calculations'!$D$6="Yes",IF('Mass Ion Calculations'!$D$7="Yes",'Mass Ion Calculations'!$D$18+'AA Exact Masses'!$Q$2-'Mass Ion Calculations'!$C$28-'Mass Ion Calculations'!$C6-'Mass Ion Calculations'!$D$5,'Mass Ion Calculations'!$F$18+'AA Exact Masses'!$Q$2-'Mass Ion Calculations'!$E$2-'Mass Ion Calculations'!$E6-'Mass Ion Calculations'!$D$5),IF('Mass Ion Calculations'!$D$7="Yes", 'Mass Ion Calculations'!$D$15+'AA Exact Masses'!$Q$2-'Mass Ion Calculations'!$C$28-'Mass Ion Calculations'!$C6-'Mass Ion Calculations'!$D$5,'Mass Ion Calculations'!$F$15+'AA Exact Masses'!$Q$2-'Mass Ion Calculations'!$E$2-'Mass Ion Calculations'!$E6-'Mass Ion Calculations'!$D$5)))</f>
        <v/>
      </c>
    </row>
    <row r="6" spans="2:26" x14ac:dyDescent="0.25">
      <c r="B6" s="4" t="str">
        <f>IF('Mass Ion Calculations'!B7="","",'Mass Ion Calculations'!B7)</f>
        <v>Ile</v>
      </c>
      <c r="C6" s="3">
        <f>IF(OR($B6="",C$3=""),"",IF('Mass Ion Calculations'!$D$6="Yes",IF('Mass Ion Calculations'!$D$7="Yes",'Mass Ion Calculations'!$D$18+'AA Exact Masses'!$Q$2-'Mass Ion Calculations'!$C$5-'Mass Ion Calculations'!$C7-'Mass Ion Calculations'!$D$5,'Mass Ion Calculations'!$F$18+'AA Exact Masses'!$Q$2-'Mass Ion Calculations'!$E$5-'Mass Ion Calculations'!E7-'Mass Ion Calculations'!$D$5),IF('Mass Ion Calculations'!$D$7="Yes", 'Mass Ion Calculations'!$D$15+'AA Exact Masses'!$Q$2-'Mass Ion Calculations'!$C$5-'Mass Ion Calculations'!$C7-'Mass Ion Calculations'!$D$5,'Mass Ion Calculations'!$F$15+'AA Exact Masses'!$Q$2-'Mass Ion Calculations'!$E$5-'Mass Ion Calculations'!E7-'Mass Ion Calculations'!$D$5)))</f>
        <v>396.76979000000006</v>
      </c>
      <c r="D6" s="3">
        <f>IF(OR($B6="",D$3=""),"",IF('Mass Ion Calculations'!$D$6="Yes",IF('Mass Ion Calculations'!$D$7="Yes",'Mass Ion Calculations'!$D$18+'AA Exact Masses'!$Q$2-'Mass Ion Calculations'!$C$6-'Mass Ion Calculations'!$C7-'Mass Ion Calculations'!$D$5,'Mass Ion Calculations'!$F$18+'AA Exact Masses'!$Q$2-'Mass Ion Calculations'!$E$6-'Mass Ion Calculations'!E7-'Mass Ion Calculations'!$D$5),IF('Mass Ion Calculations'!$D$7="Yes", 'Mass Ion Calculations'!$D$15+'AA Exact Masses'!$Q$2-'Mass Ion Calculations'!$C$6-'Mass Ion Calculations'!$C7-'Mass Ion Calculations'!$D$5,'Mass Ion Calculations'!$F$15+'AA Exact Masses'!$Q$2-'Mass Ion Calculations'!$E$6-'Mass Ion Calculations'!E7-'Mass Ion Calculations'!$D$5)))</f>
        <v>439.81200000000013</v>
      </c>
      <c r="E6" s="3">
        <f>IF(OR($B6="",E$3=""),"",IF('Mass Ion Calculations'!$D$6="Yes",IF('Mass Ion Calculations'!$D$7="Yes",'Mass Ion Calculations'!$D$18+'AA Exact Masses'!$Q$2-'Mass Ion Calculations'!$C$7-'Mass Ion Calculations'!$C7-'Mass Ion Calculations'!$D$5,'Mass Ion Calculations'!$F$18+'AA Exact Masses'!$Q$2-'Mass Ion Calculations'!$E$7-'Mass Ion Calculations'!$E7-'Mass Ion Calculations'!$D$5),IF('Mass Ion Calculations'!$D$7="Yes", 'Mass Ion Calculations'!$D$15+'AA Exact Masses'!$Q$2-'Mass Ion Calculations'!$C$7-'Mass Ion Calculations'!$C7-'Mass Ion Calculations'!$D$5,'Mass Ion Calculations'!$F$15+'AA Exact Masses'!$Q$2-'Mass Ion Calculations'!$E$7-'Mass Ion Calculations'!$E7-'Mass Ion Calculations'!$D$5)))</f>
        <v>397.7650500000002</v>
      </c>
      <c r="F6" s="3">
        <f>IF(OR($B6="",F$3=""),"",IF('Mass Ion Calculations'!$D$6="Yes",IF('Mass Ion Calculations'!$D$7="Yes",'Mass Ion Calculations'!$D$18+'AA Exact Masses'!$Q$2-'Mass Ion Calculations'!$C$8-'Mass Ion Calculations'!$C7-'Mass Ion Calculations'!$D$5,'Mass Ion Calculations'!$F$18+'AA Exact Masses'!$Q$2-'Mass Ion Calculations'!$E$8-'Mass Ion Calculations'!$E7-'Mass Ion Calculations'!$D$5),IF('Mass Ion Calculations'!$D$7="Yes", 'Mass Ion Calculations'!$D$15+'AA Exact Masses'!$Q$2-'Mass Ion Calculations'!$C$8-'Mass Ion Calculations'!$C7-'Mass Ion Calculations'!$D$5,'Mass Ion Calculations'!$F$15+'AA Exact Masses'!$Q$2-'Mass Ion Calculations'!$E$8-'Mass Ion Calculations'!$E7-'Mass Ion Calculations'!$D$5)))</f>
        <v>397.7650500000002</v>
      </c>
      <c r="G6" s="3">
        <f>IF(OR($B6="",G$3=""),"",IF('Mass Ion Calculations'!$D$6="Yes",IF('Mass Ion Calculations'!$D$7="Yes",'Mass Ion Calculations'!$D$18+'AA Exact Masses'!$Q$2-'Mass Ion Calculations'!$C$9-'Mass Ion Calculations'!$C7-'Mass Ion Calculations'!$D$5,'Mass Ion Calculations'!$F$18+'AA Exact Masses'!$Q$2-'Mass Ion Calculations'!$E$9-'Mass Ion Calculations'!$E7-'Mass Ion Calculations'!$D$5),IF('Mass Ion Calculations'!$D$7="Yes", 'Mass Ion Calculations'!$D$15+'AA Exact Masses'!$Q$2-'Mass Ion Calculations'!$C$9-'Mass Ion Calculations'!$C7-'Mass Ion Calculations'!$D$5,'Mass Ion Calculations'!$F$15+'AA Exact Masses'!$Q$2-'Mass Ion Calculations'!$E$9-'Mass Ion Calculations'!$E7-'Mass Ion Calculations'!$D$5)))</f>
        <v>439.81200000000013</v>
      </c>
      <c r="H6" s="3">
        <f>IF(OR($B6="",H$3=""),"",IF('Mass Ion Calculations'!$D$6="Yes",IF('Mass Ion Calculations'!$D$7="Yes",'Mass Ion Calculations'!$D$18+'AA Exact Masses'!$Q$2-'Mass Ion Calculations'!$C$10-'Mass Ion Calculations'!$C7-'Mass Ion Calculations'!$D$5,'Mass Ion Calculations'!$F$18+'AA Exact Masses'!$Q$2-'Mass Ion Calculations'!$E$10-'Mass Ion Calculations'!$E7-'Mass Ion Calculations'!$D$5),IF('Mass Ion Calculations'!$D$7="Yes", 'Mass Ion Calculations'!$D$15+'AA Exact Masses'!$Q$2-'Mass Ion Calculations'!$C$10-'Mass Ion Calculations'!$C7-'Mass Ion Calculations'!$D$5,'Mass Ion Calculations'!$F$15+'AA Exact Masses'!$Q$2-'Mass Ion Calculations'!$E$10-'Mass Ion Calculations'!$E7-'Mass Ion Calculations'!$D$5)))</f>
        <v>397.7650500000002</v>
      </c>
      <c r="I6" s="3">
        <f>IF(OR($B6="",I$3=""),"",IF('Mass Ion Calculations'!$D$6="Yes",IF('Mass Ion Calculations'!$D$7="Yes",'Mass Ion Calculations'!$D$18+'AA Exact Masses'!$Q$2-'Mass Ion Calculations'!$C$11-'Mass Ion Calculations'!$C7-'Mass Ion Calculations'!$D$5,'Mass Ion Calculations'!$F$18+'AA Exact Masses'!$Q$2-'Mass Ion Calculations'!$E$11-'Mass Ion Calculations'!$E7-'Mass Ion Calculations'!$D$5),IF('Mass Ion Calculations'!$D$7="Yes", 'Mass Ion Calculations'!$D$15+'AA Exact Masses'!$Q$2-'Mass Ion Calculations'!$C$11-'Mass Ion Calculations'!$C7-'Mass Ion Calculations'!$D$5,'Mass Ion Calculations'!$F$15+'AA Exact Masses'!$Q$2-'Mass Ion Calculations'!$E$11-'Mass Ion Calculations'!$E7-'Mass Ion Calculations'!$D$5)))</f>
        <v>396.76979000000006</v>
      </c>
      <c r="J6" s="3">
        <f>IF(OR($B6="",J$3=""),"",IF('Mass Ion Calculations'!$D$6="Yes",IF('Mass Ion Calculations'!$D$7="Yes",'Mass Ion Calculations'!$D$18+'AA Exact Masses'!$Q$2-'Mass Ion Calculations'!$C$12-'Mass Ion Calculations'!$C7-'Mass Ion Calculations'!$D$5,'Mass Ion Calculations'!$F$18+'AA Exact Masses'!$Q$2-'Mass Ion Calculations'!$E$12-'Mass Ion Calculations'!$E7-'Mass Ion Calculations'!$D$5),IF('Mass Ion Calculations'!$D$7="Yes", 'Mass Ion Calculations'!$D$15+'AA Exact Masses'!$Q$2-'Mass Ion Calculations'!$C$12-'Mass Ion Calculations'!$C7-'Mass Ion Calculations'!$D$5,'Mass Ion Calculations'!$F$15+'AA Exact Masses'!$Q$2-'Mass Ion Calculations'!$E$12-'Mass Ion Calculations'!$E7-'Mass Ion Calculations'!$D$5)))</f>
        <v>411.78070000000002</v>
      </c>
      <c r="K6" s="3">
        <f>IF(OR($B6="",K$3=""),"",IF('Mass Ion Calculations'!$D$6="Yes",IF('Mass Ion Calculations'!$D$7="Yes",'Mass Ion Calculations'!$D$18+'AA Exact Masses'!$Q$2-'Mass Ion Calculations'!$C$13-'Mass Ion Calculations'!$C7-'Mass Ion Calculations'!$D$5,'Mass Ion Calculations'!$F$18+'AA Exact Masses'!$Q$2-'Mass Ion Calculations'!$E$14-'Mass Ion Calculations'!$E7-'Mass Ion Calculations'!$D$5),IF('Mass Ion Calculations'!$D$7="Yes", 'Mass Ion Calculations'!$D$15+'AA Exact Masses'!$Q$2-'Mass Ion Calculations'!$C$13-'Mass Ion Calculations'!$C7-'Mass Ion Calculations'!$D$5,'Mass Ion Calculations'!$F$15+'AA Exact Masses'!$Q$2-'Mass Ion Calculations'!$E$14-'Mass Ion Calculations'!$E7-'Mass Ion Calculations'!$D$5)))</f>
        <v>381.80652000000009</v>
      </c>
      <c r="L6" s="3">
        <f>IF(OR($B6="",L$3=""),"",IF('Mass Ion Calculations'!$D$6="Yes",IF('Mass Ion Calculations'!$D$7="Yes",'Mass Ion Calculations'!$D$18+'AA Exact Masses'!$Q$2-'Mass Ion Calculations'!$C$14-'Mass Ion Calculations'!$C7-'Mass Ion Calculations'!$D$5,'Mass Ion Calculations'!$F$18+'AA Exact Masses'!$Q$2-'Mass Ion Calculations'!$E$15-'Mass Ion Calculations'!$E7-'Mass Ion Calculations'!$D$5),IF('Mass Ion Calculations'!$D$7="Yes", 'Mass Ion Calculations'!$D$15+'AA Exact Masses'!$Q$2-'Mass Ion Calculations'!$C$14-'Mass Ion Calculations'!$C7-'Mass Ion Calculations'!$D$5,'Mass Ion Calculations'!$F$15+'AA Exact Masses'!$Q$2-'Mass Ion Calculations'!$E$15-'Mass Ion Calculations'!$E7-'Mass Ion Calculations'!$D$5)))</f>
        <v>395.82217000000014</v>
      </c>
      <c r="M6" s="3">
        <f>IF(OR($B6="",M$3=""),"",IF('Mass Ion Calculations'!$D$6="Yes",IF('Mass Ion Calculations'!$D$7="Yes",'Mass Ion Calculations'!$D$18+'AA Exact Masses'!$Q$2-'Mass Ion Calculations'!$C$15-'Mass Ion Calculations'!$C7-'Mass Ion Calculations'!$D$5,'Mass Ion Calculations'!$F$18+'AA Exact Masses'!$Q$2-'Mass Ion Calculations'!$E$16-'Mass Ion Calculations'!$E7-'Mass Ion Calculations'!$D$5),IF('Mass Ion Calculations'!$D$7="Yes", 'Mass Ion Calculations'!$D$15+'AA Exact Masses'!$Q$2-'Mass Ion Calculations'!$C$15-'Mass Ion Calculations'!$C7-'Mass Ion Calculations'!$D$5,'Mass Ion Calculations'!$F$15+'AA Exact Masses'!$Q$2-'Mass Ion Calculations'!$E$16-'Mass Ion Calculations'!$E7-'Mass Ion Calculations'!$D$5)))</f>
        <v>439.81200000000013</v>
      </c>
      <c r="N6" s="3">
        <f>IF(OR($B6="",N$3=""),"",IF('Mass Ion Calculations'!$D$6="Yes",IF('Mass Ion Calculations'!$D$7="Yes",'Mass Ion Calculations'!$D$18+'AA Exact Masses'!$Q$2-'Mass Ion Calculations'!$C$16-'Mass Ion Calculations'!$C7-'Mass Ion Calculations'!$D$5,'Mass Ion Calculations'!$F$18+'AA Exact Masses'!$Q$2-'Mass Ion Calculations'!$E$17-'Mass Ion Calculations'!$E7-'Mass Ion Calculations'!$D$5),IF('Mass Ion Calculations'!$D$7="Yes", 'Mass Ion Calculations'!$D$15+'AA Exact Masses'!$Q$2-'Mass Ion Calculations'!$C$16-'Mass Ion Calculations'!$C7-'Mass Ion Calculations'!$D$5,'Mass Ion Calculations'!$F$15+'AA Exact Masses'!$Q$2-'Mass Ion Calculations'!$E$17-'Mass Ion Calculations'!$E7-'Mass Ion Calculations'!$D$5)))</f>
        <v>363.78070000000002</v>
      </c>
      <c r="O6" s="3">
        <f>IF(OR($B6="",O$3=""),"",IF('Mass Ion Calculations'!$D$6="Yes",IF('Mass Ion Calculations'!$D$7="Yes",'Mass Ion Calculations'!$D$18+'AA Exact Masses'!$Q$2-'Mass Ion Calculations'!$C$17-'Mass Ion Calculations'!$C7-'Mass Ion Calculations'!$D$5,'Mass Ion Calculations'!$F$18+'AA Exact Masses'!$Q$2-'Mass Ion Calculations'!$E$18-'Mass Ion Calculations'!$E7-'Mass Ion Calculations'!$D$5),IF('Mass Ion Calculations'!$D$7="Yes", 'Mass Ion Calculations'!$D$15+'AA Exact Masses'!$Q$2-'Mass Ion Calculations'!$C$17-'Mass Ion Calculations'!$C7-'Mass Ion Calculations'!$D$5,'Mass Ion Calculations'!$F$15+'AA Exact Masses'!$Q$2-'Mass Ion Calculations'!$E$18-'Mass Ion Calculations'!$E7-'Mass Ion Calculations'!$D$5)))</f>
        <v>237.88405000000012</v>
      </c>
      <c r="P6" s="3">
        <f>IF(OR($B6="",P$3=""),"",IF('Mass Ion Calculations'!$D$6="Yes",IF('Mass Ion Calculations'!$D$7="Yes",'Mass Ion Calculations'!$D$18+'AA Exact Masses'!$Q$2-'Mass Ion Calculations'!$C$19-'Mass Ion Calculations'!$C7-'Mass Ion Calculations'!$D$5,'Mass Ion Calculations'!$F$18+'AA Exact Masses'!$Q$2-'Mass Ion Calculations'!$E$19-'Mass Ion Calculations'!$E7-'Mass Ion Calculations'!$D$5),IF('Mass Ion Calculations'!$D$7="Yes", 'Mass Ion Calculations'!$D$15+'AA Exact Masses'!$Q$2-'Mass Ion Calculations'!$C$19-'Mass Ion Calculations'!$C7-'Mass Ion Calculations'!$D$5,'Mass Ion Calculations'!$F$15+'AA Exact Masses'!$Q$2-'Mass Ion Calculations'!$E$19-'Mass Ion Calculations'!$E7-'Mass Ion Calculations'!$D$5)))</f>
        <v>411.78070000000002</v>
      </c>
      <c r="Q6" s="3">
        <f>IF(OR($B6="",Q$3=""),"",IF('Mass Ion Calculations'!$D$6="Yes",IF('Mass Ion Calculations'!$D$7="Yes",'Mass Ion Calculations'!$D$18+'AA Exact Masses'!$Q$2-'Mass Ion Calculations'!$C$20-'Mass Ion Calculations'!$C7-'Mass Ion Calculations'!$D$5,'Mass Ion Calculations'!$F$18+'AA Exact Masses'!$Q$2-'Mass Ion Calculations'!$E$20-'Mass Ion Calculations'!$E7-'Mass Ion Calculations'!$D$5),IF('Mass Ion Calculations'!$D$7="Yes", 'Mass Ion Calculations'!$D$15+'AA Exact Masses'!$Q$2-'Mass Ion Calculations'!$C$20-'Mass Ion Calculations'!$C7-'Mass Ion Calculations'!$D$5,'Mass Ion Calculations'!$F$15+'AA Exact Masses'!$Q$2-'Mass Ion Calculations'!$E$20-'Mass Ion Calculations'!$E7-'Mass Ion Calculations'!$D$5)))</f>
        <v>397.7650500000002</v>
      </c>
      <c r="R6" s="3" t="e">
        <f>IF(OR($B6="",R$3=""),"",IF('Mass Ion Calculations'!$D$6="Yes",IF('Mass Ion Calculations'!$D$7="Yes",'Mass Ion Calculations'!$D$18+'AA Exact Masses'!$Q$2-'Mass Ion Calculations'!$C$21-'Mass Ion Calculations'!$C7-'Mass Ion Calculations'!$D$5,'Mass Ion Calculations'!$F$18+'AA Exact Masses'!$Q$2-'Mass Ion Calculations'!$E$21-'Mass Ion Calculations'!$E7-'Mass Ion Calculations'!$D$5),IF('Mass Ion Calculations'!$D$7="Yes", 'Mass Ion Calculations'!$D$15+'AA Exact Masses'!$Q$2-'Mass Ion Calculations'!$C$21-'Mass Ion Calculations'!$C7-'Mass Ion Calculations'!$D$5,'Mass Ion Calculations'!$F$15+'AA Exact Masses'!$Q$2-'Mass Ion Calculations'!$E$21-'Mass Ion Calculations'!$E7-'Mass Ion Calculations'!$D$5)))</f>
        <v>#VALUE!</v>
      </c>
      <c r="S6" s="3" t="str">
        <f>IF(OR($B6="",S$3=""),"",IF('Mass Ion Calculations'!$D$6="Yes",IF('Mass Ion Calculations'!$D$7="Yes",'Mass Ion Calculations'!$D$18+'AA Exact Masses'!$Q$2-'Mass Ion Calculations'!$C$21-'Mass Ion Calculations'!$C7-'Mass Ion Calculations'!$D$5,'Mass Ion Calculations'!$F$18+'AA Exact Masses'!$Q$2-'Mass Ion Calculations'!$E$21-'Mass Ion Calculations'!$E7-'Mass Ion Calculations'!$D$5),IF('Mass Ion Calculations'!$D$7="Yes", 'Mass Ion Calculations'!$D$15+'AA Exact Masses'!$Q$2-'Mass Ion Calculations'!$C$21-'Mass Ion Calculations'!$C7-'Mass Ion Calculations'!$D$5,'Mass Ion Calculations'!$F$15+'AA Exact Masses'!$Q$2-'Mass Ion Calculations'!$E$21-'Mass Ion Calculations'!$E7-'Mass Ion Calculations'!$D$5)))</f>
        <v/>
      </c>
      <c r="T6" s="3" t="e">
        <f>IF(OR($B6="",T$3=""),"",IF('Mass Ion Calculations'!$D$6="Yes",IF('Mass Ion Calculations'!$D$7="Yes",'Mass Ion Calculations'!$D$18+'AA Exact Masses'!$Q$2-'Mass Ion Calculations'!$C$22-'Mass Ion Calculations'!$C7-'Mass Ion Calculations'!$D$5,'Mass Ion Calculations'!$F$18+'AA Exact Masses'!$Q$2-'Mass Ion Calculations'!$E$22-'Mass Ion Calculations'!$E7-'Mass Ion Calculations'!$D$5),IF('Mass Ion Calculations'!$D$7="Yes", 'Mass Ion Calculations'!$D$15+'AA Exact Masses'!$Q$2-'Mass Ion Calculations'!$C$22-'Mass Ion Calculations'!$C7-'Mass Ion Calculations'!$D$5,'Mass Ion Calculations'!$F$15+'AA Exact Masses'!$Q$2-'Mass Ion Calculations'!$E$22-'Mass Ion Calculations'!$E7-'Mass Ion Calculations'!$D$5)))</f>
        <v>#VALUE!</v>
      </c>
      <c r="U6" s="3" t="e">
        <f>IF(OR($B6="",U$3=""),"",IF('Mass Ion Calculations'!$D$6="Yes",IF('Mass Ion Calculations'!$D$7="Yes",'Mass Ion Calculations'!$D$18+'AA Exact Masses'!$Q$2-'Mass Ion Calculations'!$C$23-'Mass Ion Calculations'!$C7-'Mass Ion Calculations'!$D$5,'Mass Ion Calculations'!$F$18+'AA Exact Masses'!$Q$2-'Mass Ion Calculations'!$E$23-'Mass Ion Calculations'!$E7-'Mass Ion Calculations'!$D$5),IF('Mass Ion Calculations'!$D$7="Yes", 'Mass Ion Calculations'!$D$15+'AA Exact Masses'!$Q$2-'Mass Ion Calculations'!$C$23-'Mass Ion Calculations'!$C7-'Mass Ion Calculations'!$D$5,'Mass Ion Calculations'!$F$15+'AA Exact Masses'!$Q$2-'Mass Ion Calculations'!$E$23-'Mass Ion Calculations'!$E7-'Mass Ion Calculations'!$D$5)))</f>
        <v>#VALUE!</v>
      </c>
      <c r="V6" s="3" t="str">
        <f>IF(OR($B6="",V$3=""),"",IF('Mass Ion Calculations'!$D$6="Yes",IF('Mass Ion Calculations'!$D$7="Yes",'Mass Ion Calculations'!$D$18+'AA Exact Masses'!$Q$2-'Mass Ion Calculations'!$C$24-'Mass Ion Calculations'!$C7-'Mass Ion Calculations'!$D$5,'Mass Ion Calculations'!$F$18+'AA Exact Masses'!$Q$2-'Mass Ion Calculations'!$E$24-'Mass Ion Calculations'!$E7-'Mass Ion Calculations'!$D$5),IF('Mass Ion Calculations'!$D$7="Yes", 'Mass Ion Calculations'!$D$15+'AA Exact Masses'!$Q$2-'Mass Ion Calculations'!$C$24-'Mass Ion Calculations'!$C7-'Mass Ion Calculations'!$D$5,'Mass Ion Calculations'!$F$15+'AA Exact Masses'!$Q$2-'Mass Ion Calculations'!$E$24-'Mass Ion Calculations'!$E7-'Mass Ion Calculations'!$D$5)))</f>
        <v/>
      </c>
      <c r="W6" s="3" t="str">
        <f>IF(OR($B6="",W$3=""),"",IF('Mass Ion Calculations'!$D$6="Yes",IF('Mass Ion Calculations'!$D$7="Yes",'Mass Ion Calculations'!$D$18+'AA Exact Masses'!$Q$2-'Mass Ion Calculations'!$C$25-'Mass Ion Calculations'!$C7-'Mass Ion Calculations'!$D$5,'Mass Ion Calculations'!$F$18+'AA Exact Masses'!$Q$2-'Mass Ion Calculations'!$E$25-'Mass Ion Calculations'!$E7-'Mass Ion Calculations'!$D$5),IF('Mass Ion Calculations'!$D$7="Yes", 'Mass Ion Calculations'!$D$15+'AA Exact Masses'!$Q$2-'Mass Ion Calculations'!$C$25-'Mass Ion Calculations'!$C7-'Mass Ion Calculations'!$D$5,'Mass Ion Calculations'!$F$15+'AA Exact Masses'!$Q$2-'Mass Ion Calculations'!$E$25-'Mass Ion Calculations'!$E7-'Mass Ion Calculations'!$D$5)))</f>
        <v/>
      </c>
      <c r="X6" s="3" t="str">
        <f>IF(OR($B6="",X$3=""),"",IF('Mass Ion Calculations'!$D$6="Yes",IF('Mass Ion Calculations'!$D$7="Yes",'Mass Ion Calculations'!$D$18+'AA Exact Masses'!$Q$2-'Mass Ion Calculations'!$C$26-'Mass Ion Calculations'!$C7-'Mass Ion Calculations'!$D$5,'Mass Ion Calculations'!$F$18+'AA Exact Masses'!$Q$2-'Mass Ion Calculations'!$E$26-'Mass Ion Calculations'!$E7-'Mass Ion Calculations'!$D$5),IF('Mass Ion Calculations'!$D$7="Yes", 'Mass Ion Calculations'!$D$15+'AA Exact Masses'!$Q$2-'Mass Ion Calculations'!$C$26-'Mass Ion Calculations'!$C7-'Mass Ion Calculations'!$D$5,'Mass Ion Calculations'!$F$15+'AA Exact Masses'!$Q$2-'Mass Ion Calculations'!$E$26-'Mass Ion Calculations'!$E7-'Mass Ion Calculations'!$D$5)))</f>
        <v/>
      </c>
      <c r="Y6" s="3" t="str">
        <f>IF(OR($B6="",Y$3=""),"",IF('Mass Ion Calculations'!$D$6="Yes",IF('Mass Ion Calculations'!$D$7="Yes",'Mass Ion Calculations'!$D$18+'AA Exact Masses'!$Q$2-'Mass Ion Calculations'!$C$27-'Mass Ion Calculations'!$C7-'Mass Ion Calculations'!$D$5,'Mass Ion Calculations'!$F$18+'AA Exact Masses'!$Q$2-'Mass Ion Calculations'!$E$27-'Mass Ion Calculations'!$E7-'Mass Ion Calculations'!$D$5),IF('Mass Ion Calculations'!$D$7="Yes", 'Mass Ion Calculations'!$D$15+'AA Exact Masses'!$Q$2-'Mass Ion Calculations'!$C$27-'Mass Ion Calculations'!$C7-'Mass Ion Calculations'!$D$5,'Mass Ion Calculations'!$F$15+'AA Exact Masses'!$Q$2-'Mass Ion Calculations'!$E$27-'Mass Ion Calculations'!$E7-'Mass Ion Calculations'!$D$5)))</f>
        <v/>
      </c>
      <c r="Z6" s="3" t="str">
        <f>IF(OR($B6="",Z$3=""),"",IF('Mass Ion Calculations'!$D$6="Yes",IF('Mass Ion Calculations'!$D$7="Yes",'Mass Ion Calculations'!$D$18+'AA Exact Masses'!$Q$2-'Mass Ion Calculations'!$C$28-'Mass Ion Calculations'!$C7-'Mass Ion Calculations'!$D$5,'Mass Ion Calculations'!$F$18+'AA Exact Masses'!$Q$2-'Mass Ion Calculations'!$E$2-'Mass Ion Calculations'!$E7-'Mass Ion Calculations'!$D$5),IF('Mass Ion Calculations'!$D$7="Yes", 'Mass Ion Calculations'!$D$15+'AA Exact Masses'!$Q$2-'Mass Ion Calculations'!$C$28-'Mass Ion Calculations'!$C7-'Mass Ion Calculations'!$D$5,'Mass Ion Calculations'!$F$15+'AA Exact Masses'!$Q$2-'Mass Ion Calculations'!$E$2-'Mass Ion Calculations'!$E7-'Mass Ion Calculations'!$D$5)))</f>
        <v/>
      </c>
    </row>
    <row r="7" spans="2:26" x14ac:dyDescent="0.25">
      <c r="B7" s="4" t="str">
        <f>IF('Mass Ion Calculations'!B8="","",'Mass Ion Calculations'!B8)</f>
        <v>Ile</v>
      </c>
      <c r="C7" s="3">
        <f>IF(OR($B7="",C$3=""),"",IF('Mass Ion Calculations'!$D$6="Yes",IF('Mass Ion Calculations'!$D$7="Yes",'Mass Ion Calculations'!$D$18+'AA Exact Masses'!$Q$2-'Mass Ion Calculations'!$C$5-'Mass Ion Calculations'!$C8-'Mass Ion Calculations'!$D$5,'Mass Ion Calculations'!$F$18+'AA Exact Masses'!$Q$2-'Mass Ion Calculations'!$E$5-'Mass Ion Calculations'!E8-'Mass Ion Calculations'!$D$5),IF('Mass Ion Calculations'!$D$7="Yes", 'Mass Ion Calculations'!$D$15+'AA Exact Masses'!$Q$2-'Mass Ion Calculations'!$C$5-'Mass Ion Calculations'!$C8-'Mass Ion Calculations'!$D$5,'Mass Ion Calculations'!$F$15+'AA Exact Masses'!$Q$2-'Mass Ion Calculations'!$E$5-'Mass Ion Calculations'!E8-'Mass Ion Calculations'!$D$5)))</f>
        <v>396.76979000000006</v>
      </c>
      <c r="D7" s="3">
        <f>IF(OR($B7="",D$3=""),"",IF('Mass Ion Calculations'!$D$6="Yes",IF('Mass Ion Calculations'!$D$7="Yes",'Mass Ion Calculations'!$D$18+'AA Exact Masses'!$Q$2-'Mass Ion Calculations'!$C$6-'Mass Ion Calculations'!$C8-'Mass Ion Calculations'!$D$5,'Mass Ion Calculations'!$F$18+'AA Exact Masses'!$Q$2-'Mass Ion Calculations'!$E$6-'Mass Ion Calculations'!E8-'Mass Ion Calculations'!$D$5),IF('Mass Ion Calculations'!$D$7="Yes", 'Mass Ion Calculations'!$D$15+'AA Exact Masses'!$Q$2-'Mass Ion Calculations'!$C$6-'Mass Ion Calculations'!$C8-'Mass Ion Calculations'!$D$5,'Mass Ion Calculations'!$F$15+'AA Exact Masses'!$Q$2-'Mass Ion Calculations'!$E$6-'Mass Ion Calculations'!E8-'Mass Ion Calculations'!$D$5)))</f>
        <v>439.81200000000013</v>
      </c>
      <c r="E7" s="3">
        <f>IF(OR($B7="",E$3=""),"",IF('Mass Ion Calculations'!$D$6="Yes",IF('Mass Ion Calculations'!$D$7="Yes",'Mass Ion Calculations'!$D$18+'AA Exact Masses'!$Q$2-'Mass Ion Calculations'!$C$7-'Mass Ion Calculations'!$C8-'Mass Ion Calculations'!$D$5,'Mass Ion Calculations'!$F$18+'AA Exact Masses'!$Q$2-'Mass Ion Calculations'!$E$7-'Mass Ion Calculations'!$E8-'Mass Ion Calculations'!$D$5),IF('Mass Ion Calculations'!$D$7="Yes", 'Mass Ion Calculations'!$D$15+'AA Exact Masses'!$Q$2-'Mass Ion Calculations'!$C$7-'Mass Ion Calculations'!$C8-'Mass Ion Calculations'!$D$5,'Mass Ion Calculations'!$F$15+'AA Exact Masses'!$Q$2-'Mass Ion Calculations'!$E$7-'Mass Ion Calculations'!$E8-'Mass Ion Calculations'!$D$5)))</f>
        <v>397.7650500000002</v>
      </c>
      <c r="F7" s="3">
        <f>IF(OR($B7="",F$3=""),"",IF('Mass Ion Calculations'!$D$6="Yes",IF('Mass Ion Calculations'!$D$7="Yes",'Mass Ion Calculations'!$D$18+'AA Exact Masses'!$Q$2-'Mass Ion Calculations'!$C$8-'Mass Ion Calculations'!$C8-'Mass Ion Calculations'!$D$5,'Mass Ion Calculations'!$F$18+'AA Exact Masses'!$Q$2-'Mass Ion Calculations'!$E$8-'Mass Ion Calculations'!$E8-'Mass Ion Calculations'!$D$5),IF('Mass Ion Calculations'!$D$7="Yes", 'Mass Ion Calculations'!$D$15+'AA Exact Masses'!$Q$2-'Mass Ion Calculations'!$C$8-'Mass Ion Calculations'!$C8-'Mass Ion Calculations'!$D$5,'Mass Ion Calculations'!$F$15+'AA Exact Masses'!$Q$2-'Mass Ion Calculations'!$E$8-'Mass Ion Calculations'!$E8-'Mass Ion Calculations'!$D$5)))</f>
        <v>397.7650500000002</v>
      </c>
      <c r="G7" s="3">
        <f>IF(OR($B7="",G$3=""),"",IF('Mass Ion Calculations'!$D$6="Yes",IF('Mass Ion Calculations'!$D$7="Yes",'Mass Ion Calculations'!$D$18+'AA Exact Masses'!$Q$2-'Mass Ion Calculations'!$C$9-'Mass Ion Calculations'!$C8-'Mass Ion Calculations'!$D$5,'Mass Ion Calculations'!$F$18+'AA Exact Masses'!$Q$2-'Mass Ion Calculations'!$E$9-'Mass Ion Calculations'!$E8-'Mass Ion Calculations'!$D$5),IF('Mass Ion Calculations'!$D$7="Yes", 'Mass Ion Calculations'!$D$15+'AA Exact Masses'!$Q$2-'Mass Ion Calculations'!$C$9-'Mass Ion Calculations'!$C8-'Mass Ion Calculations'!$D$5,'Mass Ion Calculations'!$F$15+'AA Exact Masses'!$Q$2-'Mass Ion Calculations'!$E$9-'Mass Ion Calculations'!$E8-'Mass Ion Calculations'!$D$5)))</f>
        <v>439.81200000000013</v>
      </c>
      <c r="H7" s="3">
        <f>IF(OR($B7="",H$3=""),"",IF('Mass Ion Calculations'!$D$6="Yes",IF('Mass Ion Calculations'!$D$7="Yes",'Mass Ion Calculations'!$D$18+'AA Exact Masses'!$Q$2-'Mass Ion Calculations'!$C$10-'Mass Ion Calculations'!$C8-'Mass Ion Calculations'!$D$5,'Mass Ion Calculations'!$F$18+'AA Exact Masses'!$Q$2-'Mass Ion Calculations'!$E$10-'Mass Ion Calculations'!$E8-'Mass Ion Calculations'!$D$5),IF('Mass Ion Calculations'!$D$7="Yes", 'Mass Ion Calculations'!$D$15+'AA Exact Masses'!$Q$2-'Mass Ion Calculations'!$C$10-'Mass Ion Calculations'!$C8-'Mass Ion Calculations'!$D$5,'Mass Ion Calculations'!$F$15+'AA Exact Masses'!$Q$2-'Mass Ion Calculations'!$E$10-'Mass Ion Calculations'!$E8-'Mass Ion Calculations'!$D$5)))</f>
        <v>397.7650500000002</v>
      </c>
      <c r="I7" s="3">
        <f>IF(OR($B7="",I$3=""),"",IF('Mass Ion Calculations'!$D$6="Yes",IF('Mass Ion Calculations'!$D$7="Yes",'Mass Ion Calculations'!$D$18+'AA Exact Masses'!$Q$2-'Mass Ion Calculations'!$C$11-'Mass Ion Calculations'!$C8-'Mass Ion Calculations'!$D$5,'Mass Ion Calculations'!$F$18+'AA Exact Masses'!$Q$2-'Mass Ion Calculations'!$E$11-'Mass Ion Calculations'!$E8-'Mass Ion Calculations'!$D$5),IF('Mass Ion Calculations'!$D$7="Yes", 'Mass Ion Calculations'!$D$15+'AA Exact Masses'!$Q$2-'Mass Ion Calculations'!$C$11-'Mass Ion Calculations'!$C8-'Mass Ion Calculations'!$D$5,'Mass Ion Calculations'!$F$15+'AA Exact Masses'!$Q$2-'Mass Ion Calculations'!$E$11-'Mass Ion Calculations'!$E8-'Mass Ion Calculations'!$D$5)))</f>
        <v>396.76979000000006</v>
      </c>
      <c r="J7" s="3">
        <f>IF(OR($B7="",J$3=""),"",IF('Mass Ion Calculations'!$D$6="Yes",IF('Mass Ion Calculations'!$D$7="Yes",'Mass Ion Calculations'!$D$18+'AA Exact Masses'!$Q$2-'Mass Ion Calculations'!$C$12-'Mass Ion Calculations'!$C8-'Mass Ion Calculations'!$D$5,'Mass Ion Calculations'!$F$18+'AA Exact Masses'!$Q$2-'Mass Ion Calculations'!$E$12-'Mass Ion Calculations'!$E8-'Mass Ion Calculations'!$D$5),IF('Mass Ion Calculations'!$D$7="Yes", 'Mass Ion Calculations'!$D$15+'AA Exact Masses'!$Q$2-'Mass Ion Calculations'!$C$12-'Mass Ion Calculations'!$C8-'Mass Ion Calculations'!$D$5,'Mass Ion Calculations'!$F$15+'AA Exact Masses'!$Q$2-'Mass Ion Calculations'!$E$12-'Mass Ion Calculations'!$E8-'Mass Ion Calculations'!$D$5)))</f>
        <v>411.78070000000002</v>
      </c>
      <c r="K7" s="3">
        <f>IF(OR($B7="",K$3=""),"",IF('Mass Ion Calculations'!$D$6="Yes",IF('Mass Ion Calculations'!$D$7="Yes",'Mass Ion Calculations'!$D$18+'AA Exact Masses'!$Q$2-'Mass Ion Calculations'!$C$13-'Mass Ion Calculations'!$C8-'Mass Ion Calculations'!$D$5,'Mass Ion Calculations'!$F$18+'AA Exact Masses'!$Q$2-'Mass Ion Calculations'!$E$14-'Mass Ion Calculations'!$E8-'Mass Ion Calculations'!$D$5),IF('Mass Ion Calculations'!$D$7="Yes", 'Mass Ion Calculations'!$D$15+'AA Exact Masses'!$Q$2-'Mass Ion Calculations'!$C$13-'Mass Ion Calculations'!$C8-'Mass Ion Calculations'!$D$5,'Mass Ion Calculations'!$F$15+'AA Exact Masses'!$Q$2-'Mass Ion Calculations'!$E$14-'Mass Ion Calculations'!$E8-'Mass Ion Calculations'!$D$5)))</f>
        <v>381.80652000000009</v>
      </c>
      <c r="L7" s="3">
        <f>IF(OR($B7="",L$3=""),"",IF('Mass Ion Calculations'!$D$6="Yes",IF('Mass Ion Calculations'!$D$7="Yes",'Mass Ion Calculations'!$D$18+'AA Exact Masses'!$Q$2-'Mass Ion Calculations'!$C$14-'Mass Ion Calculations'!$C8-'Mass Ion Calculations'!$D$5,'Mass Ion Calculations'!$F$18+'AA Exact Masses'!$Q$2-'Mass Ion Calculations'!$E$15-'Mass Ion Calculations'!$E8-'Mass Ion Calculations'!$D$5),IF('Mass Ion Calculations'!$D$7="Yes", 'Mass Ion Calculations'!$D$15+'AA Exact Masses'!$Q$2-'Mass Ion Calculations'!$C$14-'Mass Ion Calculations'!$C8-'Mass Ion Calculations'!$D$5,'Mass Ion Calculations'!$F$15+'AA Exact Masses'!$Q$2-'Mass Ion Calculations'!$E$15-'Mass Ion Calculations'!$E8-'Mass Ion Calculations'!$D$5)))</f>
        <v>395.82217000000014</v>
      </c>
      <c r="M7" s="3">
        <f>IF(OR($B7="",M$3=""),"",IF('Mass Ion Calculations'!$D$6="Yes",IF('Mass Ion Calculations'!$D$7="Yes",'Mass Ion Calculations'!$D$18+'AA Exact Masses'!$Q$2-'Mass Ion Calculations'!$C$15-'Mass Ion Calculations'!$C8-'Mass Ion Calculations'!$D$5,'Mass Ion Calculations'!$F$18+'AA Exact Masses'!$Q$2-'Mass Ion Calculations'!$E$16-'Mass Ion Calculations'!$E8-'Mass Ion Calculations'!$D$5),IF('Mass Ion Calculations'!$D$7="Yes", 'Mass Ion Calculations'!$D$15+'AA Exact Masses'!$Q$2-'Mass Ion Calculations'!$C$15-'Mass Ion Calculations'!$C8-'Mass Ion Calculations'!$D$5,'Mass Ion Calculations'!$F$15+'AA Exact Masses'!$Q$2-'Mass Ion Calculations'!$E$16-'Mass Ion Calculations'!$E8-'Mass Ion Calculations'!$D$5)))</f>
        <v>439.81200000000013</v>
      </c>
      <c r="N7" s="3">
        <f>IF(OR($B7="",N$3=""),"",IF('Mass Ion Calculations'!$D$6="Yes",IF('Mass Ion Calculations'!$D$7="Yes",'Mass Ion Calculations'!$D$18+'AA Exact Masses'!$Q$2-'Mass Ion Calculations'!$C$16-'Mass Ion Calculations'!$C8-'Mass Ion Calculations'!$D$5,'Mass Ion Calculations'!$F$18+'AA Exact Masses'!$Q$2-'Mass Ion Calculations'!$E$17-'Mass Ion Calculations'!$E8-'Mass Ion Calculations'!$D$5),IF('Mass Ion Calculations'!$D$7="Yes", 'Mass Ion Calculations'!$D$15+'AA Exact Masses'!$Q$2-'Mass Ion Calculations'!$C$16-'Mass Ion Calculations'!$C8-'Mass Ion Calculations'!$D$5,'Mass Ion Calculations'!$F$15+'AA Exact Masses'!$Q$2-'Mass Ion Calculations'!$E$17-'Mass Ion Calculations'!$E8-'Mass Ion Calculations'!$D$5)))</f>
        <v>363.78070000000002</v>
      </c>
      <c r="O7" s="3">
        <f>IF(OR($B7="",O$3=""),"",IF('Mass Ion Calculations'!$D$6="Yes",IF('Mass Ion Calculations'!$D$7="Yes",'Mass Ion Calculations'!$D$18+'AA Exact Masses'!$Q$2-'Mass Ion Calculations'!$C$17-'Mass Ion Calculations'!$C8-'Mass Ion Calculations'!$D$5,'Mass Ion Calculations'!$F$18+'AA Exact Masses'!$Q$2-'Mass Ion Calculations'!$E$18-'Mass Ion Calculations'!$E8-'Mass Ion Calculations'!$D$5),IF('Mass Ion Calculations'!$D$7="Yes", 'Mass Ion Calculations'!$D$15+'AA Exact Masses'!$Q$2-'Mass Ion Calculations'!$C$17-'Mass Ion Calculations'!$C8-'Mass Ion Calculations'!$D$5,'Mass Ion Calculations'!$F$15+'AA Exact Masses'!$Q$2-'Mass Ion Calculations'!$E$18-'Mass Ion Calculations'!$E8-'Mass Ion Calculations'!$D$5)))</f>
        <v>237.88405000000012</v>
      </c>
      <c r="P7" s="3">
        <f>IF(OR($B7="",P$3=""),"",IF('Mass Ion Calculations'!$D$6="Yes",IF('Mass Ion Calculations'!$D$7="Yes",'Mass Ion Calculations'!$D$18+'AA Exact Masses'!$Q$2-'Mass Ion Calculations'!$C$19-'Mass Ion Calculations'!$C8-'Mass Ion Calculations'!$D$5,'Mass Ion Calculations'!$F$18+'AA Exact Masses'!$Q$2-'Mass Ion Calculations'!$E$19-'Mass Ion Calculations'!$E8-'Mass Ion Calculations'!$D$5),IF('Mass Ion Calculations'!$D$7="Yes", 'Mass Ion Calculations'!$D$15+'AA Exact Masses'!$Q$2-'Mass Ion Calculations'!$C$19-'Mass Ion Calculations'!$C8-'Mass Ion Calculations'!$D$5,'Mass Ion Calculations'!$F$15+'AA Exact Masses'!$Q$2-'Mass Ion Calculations'!$E$19-'Mass Ion Calculations'!$E8-'Mass Ion Calculations'!$D$5)))</f>
        <v>411.78070000000002</v>
      </c>
      <c r="Q7" s="3">
        <f>IF(OR($B7="",Q$3=""),"",IF('Mass Ion Calculations'!$D$6="Yes",IF('Mass Ion Calculations'!$D$7="Yes",'Mass Ion Calculations'!$D$18+'AA Exact Masses'!$Q$2-'Mass Ion Calculations'!$C$20-'Mass Ion Calculations'!$C8-'Mass Ion Calculations'!$D$5,'Mass Ion Calculations'!$F$18+'AA Exact Masses'!$Q$2-'Mass Ion Calculations'!$E$20-'Mass Ion Calculations'!$E8-'Mass Ion Calculations'!$D$5),IF('Mass Ion Calculations'!$D$7="Yes", 'Mass Ion Calculations'!$D$15+'AA Exact Masses'!$Q$2-'Mass Ion Calculations'!$C$20-'Mass Ion Calculations'!$C8-'Mass Ion Calculations'!$D$5,'Mass Ion Calculations'!$F$15+'AA Exact Masses'!$Q$2-'Mass Ion Calculations'!$E$20-'Mass Ion Calculations'!$E8-'Mass Ion Calculations'!$D$5)))</f>
        <v>397.7650500000002</v>
      </c>
      <c r="R7" s="3" t="e">
        <f>IF(OR($B7="",R$3=""),"",IF('Mass Ion Calculations'!$D$6="Yes",IF('Mass Ion Calculations'!$D$7="Yes",'Mass Ion Calculations'!$D$18+'AA Exact Masses'!$Q$2-'Mass Ion Calculations'!$C$21-'Mass Ion Calculations'!$C8-'Mass Ion Calculations'!$D$5,'Mass Ion Calculations'!$F$18+'AA Exact Masses'!$Q$2-'Mass Ion Calculations'!$E$21-'Mass Ion Calculations'!$E8-'Mass Ion Calculations'!$D$5),IF('Mass Ion Calculations'!$D$7="Yes", 'Mass Ion Calculations'!$D$15+'AA Exact Masses'!$Q$2-'Mass Ion Calculations'!$C$21-'Mass Ion Calculations'!$C8-'Mass Ion Calculations'!$D$5,'Mass Ion Calculations'!$F$15+'AA Exact Masses'!$Q$2-'Mass Ion Calculations'!$E$21-'Mass Ion Calculations'!$E8-'Mass Ion Calculations'!$D$5)))</f>
        <v>#VALUE!</v>
      </c>
      <c r="S7" s="3" t="str">
        <f>IF(OR($B7="",S$3=""),"",IF('Mass Ion Calculations'!$D$6="Yes",IF('Mass Ion Calculations'!$D$7="Yes",'Mass Ion Calculations'!$D$18+'AA Exact Masses'!$Q$2-'Mass Ion Calculations'!$C$21-'Mass Ion Calculations'!$C8-'Mass Ion Calculations'!$D$5,'Mass Ion Calculations'!$F$18+'AA Exact Masses'!$Q$2-'Mass Ion Calculations'!$E$21-'Mass Ion Calculations'!$E8-'Mass Ion Calculations'!$D$5),IF('Mass Ion Calculations'!$D$7="Yes", 'Mass Ion Calculations'!$D$15+'AA Exact Masses'!$Q$2-'Mass Ion Calculations'!$C$21-'Mass Ion Calculations'!$C8-'Mass Ion Calculations'!$D$5,'Mass Ion Calculations'!$F$15+'AA Exact Masses'!$Q$2-'Mass Ion Calculations'!$E$21-'Mass Ion Calculations'!$E8-'Mass Ion Calculations'!$D$5)))</f>
        <v/>
      </c>
      <c r="T7" s="3" t="e">
        <f>IF(OR($B7="",T$3=""),"",IF('Mass Ion Calculations'!$D$6="Yes",IF('Mass Ion Calculations'!$D$7="Yes",'Mass Ion Calculations'!$D$18+'AA Exact Masses'!$Q$2-'Mass Ion Calculations'!$C$22-'Mass Ion Calculations'!$C8-'Mass Ion Calculations'!$D$5,'Mass Ion Calculations'!$F$18+'AA Exact Masses'!$Q$2-'Mass Ion Calculations'!$E$22-'Mass Ion Calculations'!$E8-'Mass Ion Calculations'!$D$5),IF('Mass Ion Calculations'!$D$7="Yes", 'Mass Ion Calculations'!$D$15+'AA Exact Masses'!$Q$2-'Mass Ion Calculations'!$C$22-'Mass Ion Calculations'!$C8-'Mass Ion Calculations'!$D$5,'Mass Ion Calculations'!$F$15+'AA Exact Masses'!$Q$2-'Mass Ion Calculations'!$E$22-'Mass Ion Calculations'!$E8-'Mass Ion Calculations'!$D$5)))</f>
        <v>#VALUE!</v>
      </c>
      <c r="U7" s="3" t="e">
        <f>IF(OR($B7="",U$3=""),"",IF('Mass Ion Calculations'!$D$6="Yes",IF('Mass Ion Calculations'!$D$7="Yes",'Mass Ion Calculations'!$D$18+'AA Exact Masses'!$Q$2-'Mass Ion Calculations'!$C$23-'Mass Ion Calculations'!$C8-'Mass Ion Calculations'!$D$5,'Mass Ion Calculations'!$F$18+'AA Exact Masses'!$Q$2-'Mass Ion Calculations'!$E$23-'Mass Ion Calculations'!$E8-'Mass Ion Calculations'!$D$5),IF('Mass Ion Calculations'!$D$7="Yes", 'Mass Ion Calculations'!$D$15+'AA Exact Masses'!$Q$2-'Mass Ion Calculations'!$C$23-'Mass Ion Calculations'!$C8-'Mass Ion Calculations'!$D$5,'Mass Ion Calculations'!$F$15+'AA Exact Masses'!$Q$2-'Mass Ion Calculations'!$E$23-'Mass Ion Calculations'!$E8-'Mass Ion Calculations'!$D$5)))</f>
        <v>#VALUE!</v>
      </c>
      <c r="V7" s="3" t="str">
        <f>IF(OR($B7="",V$3=""),"",IF('Mass Ion Calculations'!$D$6="Yes",IF('Mass Ion Calculations'!$D$7="Yes",'Mass Ion Calculations'!$D$18+'AA Exact Masses'!$Q$2-'Mass Ion Calculations'!$C$24-'Mass Ion Calculations'!$C8-'Mass Ion Calculations'!$D$5,'Mass Ion Calculations'!$F$18+'AA Exact Masses'!$Q$2-'Mass Ion Calculations'!$E$24-'Mass Ion Calculations'!$E8-'Mass Ion Calculations'!$D$5),IF('Mass Ion Calculations'!$D$7="Yes", 'Mass Ion Calculations'!$D$15+'AA Exact Masses'!$Q$2-'Mass Ion Calculations'!$C$24-'Mass Ion Calculations'!$C8-'Mass Ion Calculations'!$D$5,'Mass Ion Calculations'!$F$15+'AA Exact Masses'!$Q$2-'Mass Ion Calculations'!$E$24-'Mass Ion Calculations'!$E8-'Mass Ion Calculations'!$D$5)))</f>
        <v/>
      </c>
      <c r="W7" s="3" t="str">
        <f>IF(OR($B7="",W$3=""),"",IF('Mass Ion Calculations'!$D$6="Yes",IF('Mass Ion Calculations'!$D$7="Yes",'Mass Ion Calculations'!$D$18+'AA Exact Masses'!$Q$2-'Mass Ion Calculations'!$C$25-'Mass Ion Calculations'!$C8-'Mass Ion Calculations'!$D$5,'Mass Ion Calculations'!$F$18+'AA Exact Masses'!$Q$2-'Mass Ion Calculations'!$E$25-'Mass Ion Calculations'!$E8-'Mass Ion Calculations'!$D$5),IF('Mass Ion Calculations'!$D$7="Yes", 'Mass Ion Calculations'!$D$15+'AA Exact Masses'!$Q$2-'Mass Ion Calculations'!$C$25-'Mass Ion Calculations'!$C8-'Mass Ion Calculations'!$D$5,'Mass Ion Calculations'!$F$15+'AA Exact Masses'!$Q$2-'Mass Ion Calculations'!$E$25-'Mass Ion Calculations'!$E8-'Mass Ion Calculations'!$D$5)))</f>
        <v/>
      </c>
      <c r="X7" s="3" t="str">
        <f>IF(OR($B7="",X$3=""),"",IF('Mass Ion Calculations'!$D$6="Yes",IF('Mass Ion Calculations'!$D$7="Yes",'Mass Ion Calculations'!$D$18+'AA Exact Masses'!$Q$2-'Mass Ion Calculations'!$C$26-'Mass Ion Calculations'!$C8-'Mass Ion Calculations'!$D$5,'Mass Ion Calculations'!$F$18+'AA Exact Masses'!$Q$2-'Mass Ion Calculations'!$E$26-'Mass Ion Calculations'!$E8-'Mass Ion Calculations'!$D$5),IF('Mass Ion Calculations'!$D$7="Yes", 'Mass Ion Calculations'!$D$15+'AA Exact Masses'!$Q$2-'Mass Ion Calculations'!$C$26-'Mass Ion Calculations'!$C8-'Mass Ion Calculations'!$D$5,'Mass Ion Calculations'!$F$15+'AA Exact Masses'!$Q$2-'Mass Ion Calculations'!$E$26-'Mass Ion Calculations'!$E8-'Mass Ion Calculations'!$D$5)))</f>
        <v/>
      </c>
      <c r="Y7" s="3" t="str">
        <f>IF(OR($B7="",Y$3=""),"",IF('Mass Ion Calculations'!$D$6="Yes",IF('Mass Ion Calculations'!$D$7="Yes",'Mass Ion Calculations'!$D$18+'AA Exact Masses'!$Q$2-'Mass Ion Calculations'!$C$27-'Mass Ion Calculations'!$C8-'Mass Ion Calculations'!$D$5,'Mass Ion Calculations'!$F$18+'AA Exact Masses'!$Q$2-'Mass Ion Calculations'!$E$27-'Mass Ion Calculations'!$E8-'Mass Ion Calculations'!$D$5),IF('Mass Ion Calculations'!$D$7="Yes", 'Mass Ion Calculations'!$D$15+'AA Exact Masses'!$Q$2-'Mass Ion Calculations'!$C$27-'Mass Ion Calculations'!$C8-'Mass Ion Calculations'!$D$5,'Mass Ion Calculations'!$F$15+'AA Exact Masses'!$Q$2-'Mass Ion Calculations'!$E$27-'Mass Ion Calculations'!$E8-'Mass Ion Calculations'!$D$5)))</f>
        <v/>
      </c>
      <c r="Z7" s="3" t="str">
        <f>IF(OR($B7="",Z$3=""),"",IF('Mass Ion Calculations'!$D$6="Yes",IF('Mass Ion Calculations'!$D$7="Yes",'Mass Ion Calculations'!$D$18+'AA Exact Masses'!$Q$2-'Mass Ion Calculations'!$C$28-'Mass Ion Calculations'!$C8-'Mass Ion Calculations'!$D$5,'Mass Ion Calculations'!$F$18+'AA Exact Masses'!$Q$2-'Mass Ion Calculations'!$E$2-'Mass Ion Calculations'!$E8-'Mass Ion Calculations'!$D$5),IF('Mass Ion Calculations'!$D$7="Yes", 'Mass Ion Calculations'!$D$15+'AA Exact Masses'!$Q$2-'Mass Ion Calculations'!$C$28-'Mass Ion Calculations'!$C8-'Mass Ion Calculations'!$D$5,'Mass Ion Calculations'!$F$15+'AA Exact Masses'!$Q$2-'Mass Ion Calculations'!$E$2-'Mass Ion Calculations'!$E8-'Mass Ion Calculations'!$D$5)))</f>
        <v/>
      </c>
    </row>
    <row r="8" spans="2:26" x14ac:dyDescent="0.25">
      <c r="B8" s="4" t="str">
        <f>IF('Mass Ion Calculations'!B9="","",'Mass Ion Calculations'!B9)</f>
        <v>N-Meth-Gly</v>
      </c>
      <c r="C8" s="3">
        <f>IF(OR($B8="",C$3=""),"",IF('Mass Ion Calculations'!$D$6="Yes",IF('Mass Ion Calculations'!$D$7="Yes",'Mass Ion Calculations'!$D$18+'AA Exact Masses'!$Q$2-'Mass Ion Calculations'!$C$5-'Mass Ion Calculations'!$C9-'Mass Ion Calculations'!$D$5,'Mass Ion Calculations'!$F$18+'AA Exact Masses'!$Q$2-'Mass Ion Calculations'!$E$5-'Mass Ion Calculations'!E9-'Mass Ion Calculations'!$D$5),IF('Mass Ion Calculations'!$D$7="Yes", 'Mass Ion Calculations'!$D$15+'AA Exact Masses'!$Q$2-'Mass Ion Calculations'!$C$5-'Mass Ion Calculations'!$C9-'Mass Ion Calculations'!$D$5,'Mass Ion Calculations'!$F$15+'AA Exact Masses'!$Q$2-'Mass Ion Calculations'!$E$5-'Mass Ion Calculations'!E9-'Mass Ion Calculations'!$D$5)))</f>
        <v>438.81673999999998</v>
      </c>
      <c r="D8" s="3">
        <f>IF(OR($B8="",D$3=""),"",IF('Mass Ion Calculations'!$D$6="Yes",IF('Mass Ion Calculations'!$D$7="Yes",'Mass Ion Calculations'!$D$18+'AA Exact Masses'!$Q$2-'Mass Ion Calculations'!$C$6-'Mass Ion Calculations'!$C9-'Mass Ion Calculations'!$D$5,'Mass Ion Calculations'!$F$18+'AA Exact Masses'!$Q$2-'Mass Ion Calculations'!$E$6-'Mass Ion Calculations'!E9-'Mass Ion Calculations'!$D$5),IF('Mass Ion Calculations'!$D$7="Yes", 'Mass Ion Calculations'!$D$15+'AA Exact Masses'!$Q$2-'Mass Ion Calculations'!$C$6-'Mass Ion Calculations'!$C9-'Mass Ion Calculations'!$D$5,'Mass Ion Calculations'!$F$15+'AA Exact Masses'!$Q$2-'Mass Ion Calculations'!$E$6-'Mass Ion Calculations'!E9-'Mass Ion Calculations'!$D$5)))</f>
        <v>481.85895000000005</v>
      </c>
      <c r="E8" s="3">
        <f>IF(OR($B8="",E$3=""),"",IF('Mass Ion Calculations'!$D$6="Yes",IF('Mass Ion Calculations'!$D$7="Yes",'Mass Ion Calculations'!$D$18+'AA Exact Masses'!$Q$2-'Mass Ion Calculations'!$C$7-'Mass Ion Calculations'!$C9-'Mass Ion Calculations'!$D$5,'Mass Ion Calculations'!$F$18+'AA Exact Masses'!$Q$2-'Mass Ion Calculations'!$E$7-'Mass Ion Calculations'!$E9-'Mass Ion Calculations'!$D$5),IF('Mass Ion Calculations'!$D$7="Yes", 'Mass Ion Calculations'!$D$15+'AA Exact Masses'!$Q$2-'Mass Ion Calculations'!$C$7-'Mass Ion Calculations'!$C9-'Mass Ion Calculations'!$D$5,'Mass Ion Calculations'!$F$15+'AA Exact Masses'!$Q$2-'Mass Ion Calculations'!$E$7-'Mass Ion Calculations'!$E9-'Mass Ion Calculations'!$D$5)))</f>
        <v>439.81200000000013</v>
      </c>
      <c r="F8" s="3">
        <f>IF(OR($B8="",F$3=""),"",IF('Mass Ion Calculations'!$D$6="Yes",IF('Mass Ion Calculations'!$D$7="Yes",'Mass Ion Calculations'!$D$18+'AA Exact Masses'!$Q$2-'Mass Ion Calculations'!$C$8-'Mass Ion Calculations'!$C9-'Mass Ion Calculations'!$D$5,'Mass Ion Calculations'!$F$18+'AA Exact Masses'!$Q$2-'Mass Ion Calculations'!$E$8-'Mass Ion Calculations'!$E9-'Mass Ion Calculations'!$D$5),IF('Mass Ion Calculations'!$D$7="Yes", 'Mass Ion Calculations'!$D$15+'AA Exact Masses'!$Q$2-'Mass Ion Calculations'!$C$8-'Mass Ion Calculations'!$C9-'Mass Ion Calculations'!$D$5,'Mass Ion Calculations'!$F$15+'AA Exact Masses'!$Q$2-'Mass Ion Calculations'!$E$8-'Mass Ion Calculations'!$E9-'Mass Ion Calculations'!$D$5)))</f>
        <v>439.81200000000013</v>
      </c>
      <c r="G8" s="3">
        <f>IF(OR($B8="",G$3=""),"",IF('Mass Ion Calculations'!$D$6="Yes",IF('Mass Ion Calculations'!$D$7="Yes",'Mass Ion Calculations'!$D$18+'AA Exact Masses'!$Q$2-'Mass Ion Calculations'!$C$9-'Mass Ion Calculations'!$C9-'Mass Ion Calculations'!$D$5,'Mass Ion Calculations'!$F$18+'AA Exact Masses'!$Q$2-'Mass Ion Calculations'!$E$9-'Mass Ion Calculations'!$E9-'Mass Ion Calculations'!$D$5),IF('Mass Ion Calculations'!$D$7="Yes", 'Mass Ion Calculations'!$D$15+'AA Exact Masses'!$Q$2-'Mass Ion Calculations'!$C$9-'Mass Ion Calculations'!$C9-'Mass Ion Calculations'!$D$5,'Mass Ion Calculations'!$F$15+'AA Exact Masses'!$Q$2-'Mass Ion Calculations'!$E$9-'Mass Ion Calculations'!$E9-'Mass Ion Calculations'!$D$5)))</f>
        <v>481.85895000000005</v>
      </c>
      <c r="H8" s="3">
        <f>IF(OR($B8="",H$3=""),"",IF('Mass Ion Calculations'!$D$6="Yes",IF('Mass Ion Calculations'!$D$7="Yes",'Mass Ion Calculations'!$D$18+'AA Exact Masses'!$Q$2-'Mass Ion Calculations'!$C$10-'Mass Ion Calculations'!$C9-'Mass Ion Calculations'!$D$5,'Mass Ion Calculations'!$F$18+'AA Exact Masses'!$Q$2-'Mass Ion Calculations'!$E$10-'Mass Ion Calculations'!$E9-'Mass Ion Calculations'!$D$5),IF('Mass Ion Calculations'!$D$7="Yes", 'Mass Ion Calculations'!$D$15+'AA Exact Masses'!$Q$2-'Mass Ion Calculations'!$C$10-'Mass Ion Calculations'!$C9-'Mass Ion Calculations'!$D$5,'Mass Ion Calculations'!$F$15+'AA Exact Masses'!$Q$2-'Mass Ion Calculations'!$E$10-'Mass Ion Calculations'!$E9-'Mass Ion Calculations'!$D$5)))</f>
        <v>439.81200000000013</v>
      </c>
      <c r="I8" s="3">
        <f>IF(OR($B8="",I$3=""),"",IF('Mass Ion Calculations'!$D$6="Yes",IF('Mass Ion Calculations'!$D$7="Yes",'Mass Ion Calculations'!$D$18+'AA Exact Masses'!$Q$2-'Mass Ion Calculations'!$C$11-'Mass Ion Calculations'!$C9-'Mass Ion Calculations'!$D$5,'Mass Ion Calculations'!$F$18+'AA Exact Masses'!$Q$2-'Mass Ion Calculations'!$E$11-'Mass Ion Calculations'!$E9-'Mass Ion Calculations'!$D$5),IF('Mass Ion Calculations'!$D$7="Yes", 'Mass Ion Calculations'!$D$15+'AA Exact Masses'!$Q$2-'Mass Ion Calculations'!$C$11-'Mass Ion Calculations'!$C9-'Mass Ion Calculations'!$D$5,'Mass Ion Calculations'!$F$15+'AA Exact Masses'!$Q$2-'Mass Ion Calculations'!$E$11-'Mass Ion Calculations'!$E9-'Mass Ion Calculations'!$D$5)))</f>
        <v>438.81673999999998</v>
      </c>
      <c r="J8" s="3">
        <f>IF(OR($B8="",J$3=""),"",IF('Mass Ion Calculations'!$D$6="Yes",IF('Mass Ion Calculations'!$D$7="Yes",'Mass Ion Calculations'!$D$18+'AA Exact Masses'!$Q$2-'Mass Ion Calculations'!$C$12-'Mass Ion Calculations'!$C9-'Mass Ion Calculations'!$D$5,'Mass Ion Calculations'!$F$18+'AA Exact Masses'!$Q$2-'Mass Ion Calculations'!$E$12-'Mass Ion Calculations'!$E9-'Mass Ion Calculations'!$D$5),IF('Mass Ion Calculations'!$D$7="Yes", 'Mass Ion Calculations'!$D$15+'AA Exact Masses'!$Q$2-'Mass Ion Calculations'!$C$12-'Mass Ion Calculations'!$C9-'Mass Ion Calculations'!$D$5,'Mass Ion Calculations'!$F$15+'AA Exact Masses'!$Q$2-'Mass Ion Calculations'!$E$12-'Mass Ion Calculations'!$E9-'Mass Ion Calculations'!$D$5)))</f>
        <v>453.82764999999995</v>
      </c>
      <c r="K8" s="3">
        <f>IF(OR($B8="",K$3=""),"",IF('Mass Ion Calculations'!$D$6="Yes",IF('Mass Ion Calculations'!$D$7="Yes",'Mass Ion Calculations'!$D$18+'AA Exact Masses'!$Q$2-'Mass Ion Calculations'!$C$13-'Mass Ion Calculations'!$C9-'Mass Ion Calculations'!$D$5,'Mass Ion Calculations'!$F$18+'AA Exact Masses'!$Q$2-'Mass Ion Calculations'!$E$14-'Mass Ion Calculations'!$E9-'Mass Ion Calculations'!$D$5),IF('Mass Ion Calculations'!$D$7="Yes", 'Mass Ion Calculations'!$D$15+'AA Exact Masses'!$Q$2-'Mass Ion Calculations'!$C$13-'Mass Ion Calculations'!$C9-'Mass Ion Calculations'!$D$5,'Mass Ion Calculations'!$F$15+'AA Exact Masses'!$Q$2-'Mass Ion Calculations'!$E$14-'Mass Ion Calculations'!$E9-'Mass Ion Calculations'!$D$5)))</f>
        <v>423.85347000000002</v>
      </c>
      <c r="L8" s="3">
        <f>IF(OR($B8="",L$3=""),"",IF('Mass Ion Calculations'!$D$6="Yes",IF('Mass Ion Calculations'!$D$7="Yes",'Mass Ion Calculations'!$D$18+'AA Exact Masses'!$Q$2-'Mass Ion Calculations'!$C$14-'Mass Ion Calculations'!$C9-'Mass Ion Calculations'!$D$5,'Mass Ion Calculations'!$F$18+'AA Exact Masses'!$Q$2-'Mass Ion Calculations'!$E$15-'Mass Ion Calculations'!$E9-'Mass Ion Calculations'!$D$5),IF('Mass Ion Calculations'!$D$7="Yes", 'Mass Ion Calculations'!$D$15+'AA Exact Masses'!$Q$2-'Mass Ion Calculations'!$C$14-'Mass Ion Calculations'!$C9-'Mass Ion Calculations'!$D$5,'Mass Ion Calculations'!$F$15+'AA Exact Masses'!$Q$2-'Mass Ion Calculations'!$E$15-'Mass Ion Calculations'!$E9-'Mass Ion Calculations'!$D$5)))</f>
        <v>437.86912000000007</v>
      </c>
      <c r="M8" s="3">
        <f>IF(OR($B8="",M$3=""),"",IF('Mass Ion Calculations'!$D$6="Yes",IF('Mass Ion Calculations'!$D$7="Yes",'Mass Ion Calculations'!$D$18+'AA Exact Masses'!$Q$2-'Mass Ion Calculations'!$C$15-'Mass Ion Calculations'!$C9-'Mass Ion Calculations'!$D$5,'Mass Ion Calculations'!$F$18+'AA Exact Masses'!$Q$2-'Mass Ion Calculations'!$E$16-'Mass Ion Calculations'!$E9-'Mass Ion Calculations'!$D$5),IF('Mass Ion Calculations'!$D$7="Yes", 'Mass Ion Calculations'!$D$15+'AA Exact Masses'!$Q$2-'Mass Ion Calculations'!$C$15-'Mass Ion Calculations'!$C9-'Mass Ion Calculations'!$D$5,'Mass Ion Calculations'!$F$15+'AA Exact Masses'!$Q$2-'Mass Ion Calculations'!$E$16-'Mass Ion Calculations'!$E9-'Mass Ion Calculations'!$D$5)))</f>
        <v>481.85895000000005</v>
      </c>
      <c r="N8" s="3">
        <f>IF(OR($B8="",N$3=""),"",IF('Mass Ion Calculations'!$D$6="Yes",IF('Mass Ion Calculations'!$D$7="Yes",'Mass Ion Calculations'!$D$18+'AA Exact Masses'!$Q$2-'Mass Ion Calculations'!$C$16-'Mass Ion Calculations'!$C9-'Mass Ion Calculations'!$D$5,'Mass Ion Calculations'!$F$18+'AA Exact Masses'!$Q$2-'Mass Ion Calculations'!$E$17-'Mass Ion Calculations'!$E9-'Mass Ion Calculations'!$D$5),IF('Mass Ion Calculations'!$D$7="Yes", 'Mass Ion Calculations'!$D$15+'AA Exact Masses'!$Q$2-'Mass Ion Calculations'!$C$16-'Mass Ion Calculations'!$C9-'Mass Ion Calculations'!$D$5,'Mass Ion Calculations'!$F$15+'AA Exact Masses'!$Q$2-'Mass Ion Calculations'!$E$17-'Mass Ion Calculations'!$E9-'Mass Ion Calculations'!$D$5)))</f>
        <v>405.82764999999995</v>
      </c>
      <c r="O8" s="3">
        <f>IF(OR($B8="",O$3=""),"",IF('Mass Ion Calculations'!$D$6="Yes",IF('Mass Ion Calculations'!$D$7="Yes",'Mass Ion Calculations'!$D$18+'AA Exact Masses'!$Q$2-'Mass Ion Calculations'!$C$17-'Mass Ion Calculations'!$C9-'Mass Ion Calculations'!$D$5,'Mass Ion Calculations'!$F$18+'AA Exact Masses'!$Q$2-'Mass Ion Calculations'!$E$18-'Mass Ion Calculations'!$E9-'Mass Ion Calculations'!$D$5),IF('Mass Ion Calculations'!$D$7="Yes", 'Mass Ion Calculations'!$D$15+'AA Exact Masses'!$Q$2-'Mass Ion Calculations'!$C$17-'Mass Ion Calculations'!$C9-'Mass Ion Calculations'!$D$5,'Mass Ion Calculations'!$F$15+'AA Exact Masses'!$Q$2-'Mass Ion Calculations'!$E$18-'Mass Ion Calculations'!$E9-'Mass Ion Calculations'!$D$5)))</f>
        <v>279.93100000000004</v>
      </c>
      <c r="P8" s="3">
        <f>IF(OR($B8="",P$3=""),"",IF('Mass Ion Calculations'!$D$6="Yes",IF('Mass Ion Calculations'!$D$7="Yes",'Mass Ion Calculations'!$D$18+'AA Exact Masses'!$Q$2-'Mass Ion Calculations'!$C$19-'Mass Ion Calculations'!$C9-'Mass Ion Calculations'!$D$5,'Mass Ion Calculations'!$F$18+'AA Exact Masses'!$Q$2-'Mass Ion Calculations'!$E$19-'Mass Ion Calculations'!$E9-'Mass Ion Calculations'!$D$5),IF('Mass Ion Calculations'!$D$7="Yes", 'Mass Ion Calculations'!$D$15+'AA Exact Masses'!$Q$2-'Mass Ion Calculations'!$C$19-'Mass Ion Calculations'!$C9-'Mass Ion Calculations'!$D$5,'Mass Ion Calculations'!$F$15+'AA Exact Masses'!$Q$2-'Mass Ion Calculations'!$E$19-'Mass Ion Calculations'!$E9-'Mass Ion Calculations'!$D$5)))</f>
        <v>453.82764999999995</v>
      </c>
      <c r="Q8" s="3">
        <f>IF(OR($B8="",Q$3=""),"",IF('Mass Ion Calculations'!$D$6="Yes",IF('Mass Ion Calculations'!$D$7="Yes",'Mass Ion Calculations'!$D$18+'AA Exact Masses'!$Q$2-'Mass Ion Calculations'!$C$20-'Mass Ion Calculations'!$C9-'Mass Ion Calculations'!$D$5,'Mass Ion Calculations'!$F$18+'AA Exact Masses'!$Q$2-'Mass Ion Calculations'!$E$20-'Mass Ion Calculations'!$E9-'Mass Ion Calculations'!$D$5),IF('Mass Ion Calculations'!$D$7="Yes", 'Mass Ion Calculations'!$D$15+'AA Exact Masses'!$Q$2-'Mass Ion Calculations'!$C$20-'Mass Ion Calculations'!$C9-'Mass Ion Calculations'!$D$5,'Mass Ion Calculations'!$F$15+'AA Exact Masses'!$Q$2-'Mass Ion Calculations'!$E$20-'Mass Ion Calculations'!$E9-'Mass Ion Calculations'!$D$5)))</f>
        <v>439.81200000000013</v>
      </c>
      <c r="R8" s="3" t="e">
        <f>IF(OR($B8="",R$3=""),"",IF('Mass Ion Calculations'!$D$6="Yes",IF('Mass Ion Calculations'!$D$7="Yes",'Mass Ion Calculations'!$D$18+'AA Exact Masses'!$Q$2-'Mass Ion Calculations'!$C$21-'Mass Ion Calculations'!$C9-'Mass Ion Calculations'!$D$5,'Mass Ion Calculations'!$F$18+'AA Exact Masses'!$Q$2-'Mass Ion Calculations'!$E$21-'Mass Ion Calculations'!$E9-'Mass Ion Calculations'!$D$5),IF('Mass Ion Calculations'!$D$7="Yes", 'Mass Ion Calculations'!$D$15+'AA Exact Masses'!$Q$2-'Mass Ion Calculations'!$C$21-'Mass Ion Calculations'!$C9-'Mass Ion Calculations'!$D$5,'Mass Ion Calculations'!$F$15+'AA Exact Masses'!$Q$2-'Mass Ion Calculations'!$E$21-'Mass Ion Calculations'!$E9-'Mass Ion Calculations'!$D$5)))</f>
        <v>#VALUE!</v>
      </c>
      <c r="S8" s="3" t="str">
        <f>IF(OR($B8="",S$3=""),"",IF('Mass Ion Calculations'!$D$6="Yes",IF('Mass Ion Calculations'!$D$7="Yes",'Mass Ion Calculations'!$D$18+'AA Exact Masses'!$Q$2-'Mass Ion Calculations'!$C$21-'Mass Ion Calculations'!$C9-'Mass Ion Calculations'!$D$5,'Mass Ion Calculations'!$F$18+'AA Exact Masses'!$Q$2-'Mass Ion Calculations'!$E$21-'Mass Ion Calculations'!$E9-'Mass Ion Calculations'!$D$5),IF('Mass Ion Calculations'!$D$7="Yes", 'Mass Ion Calculations'!$D$15+'AA Exact Masses'!$Q$2-'Mass Ion Calculations'!$C$21-'Mass Ion Calculations'!$C9-'Mass Ion Calculations'!$D$5,'Mass Ion Calculations'!$F$15+'AA Exact Masses'!$Q$2-'Mass Ion Calculations'!$E$21-'Mass Ion Calculations'!$E9-'Mass Ion Calculations'!$D$5)))</f>
        <v/>
      </c>
      <c r="T8" s="3" t="e">
        <f>IF(OR($B8="",T$3=""),"",IF('Mass Ion Calculations'!$D$6="Yes",IF('Mass Ion Calculations'!$D$7="Yes",'Mass Ion Calculations'!$D$18+'AA Exact Masses'!$Q$2-'Mass Ion Calculations'!$C$22-'Mass Ion Calculations'!$C9-'Mass Ion Calculations'!$D$5,'Mass Ion Calculations'!$F$18+'AA Exact Masses'!$Q$2-'Mass Ion Calculations'!$E$22-'Mass Ion Calculations'!$E9-'Mass Ion Calculations'!$D$5),IF('Mass Ion Calculations'!$D$7="Yes", 'Mass Ion Calculations'!$D$15+'AA Exact Masses'!$Q$2-'Mass Ion Calculations'!$C$22-'Mass Ion Calculations'!$C9-'Mass Ion Calculations'!$D$5,'Mass Ion Calculations'!$F$15+'AA Exact Masses'!$Q$2-'Mass Ion Calculations'!$E$22-'Mass Ion Calculations'!$E9-'Mass Ion Calculations'!$D$5)))</f>
        <v>#VALUE!</v>
      </c>
      <c r="U8" s="3" t="e">
        <f>IF(OR($B8="",U$3=""),"",IF('Mass Ion Calculations'!$D$6="Yes",IF('Mass Ion Calculations'!$D$7="Yes",'Mass Ion Calculations'!$D$18+'AA Exact Masses'!$Q$2-'Mass Ion Calculations'!$C$23-'Mass Ion Calculations'!$C9-'Mass Ion Calculations'!$D$5,'Mass Ion Calculations'!$F$18+'AA Exact Masses'!$Q$2-'Mass Ion Calculations'!$E$23-'Mass Ion Calculations'!$E9-'Mass Ion Calculations'!$D$5),IF('Mass Ion Calculations'!$D$7="Yes", 'Mass Ion Calculations'!$D$15+'AA Exact Masses'!$Q$2-'Mass Ion Calculations'!$C$23-'Mass Ion Calculations'!$C9-'Mass Ion Calculations'!$D$5,'Mass Ion Calculations'!$F$15+'AA Exact Masses'!$Q$2-'Mass Ion Calculations'!$E$23-'Mass Ion Calculations'!$E9-'Mass Ion Calculations'!$D$5)))</f>
        <v>#VALUE!</v>
      </c>
      <c r="V8" s="3" t="str">
        <f>IF(OR($B8="",V$3=""),"",IF('Mass Ion Calculations'!$D$6="Yes",IF('Mass Ion Calculations'!$D$7="Yes",'Mass Ion Calculations'!$D$18+'AA Exact Masses'!$Q$2-'Mass Ion Calculations'!$C$24-'Mass Ion Calculations'!$C9-'Mass Ion Calculations'!$D$5,'Mass Ion Calculations'!$F$18+'AA Exact Masses'!$Q$2-'Mass Ion Calculations'!$E$24-'Mass Ion Calculations'!$E9-'Mass Ion Calculations'!$D$5),IF('Mass Ion Calculations'!$D$7="Yes", 'Mass Ion Calculations'!$D$15+'AA Exact Masses'!$Q$2-'Mass Ion Calculations'!$C$24-'Mass Ion Calculations'!$C9-'Mass Ion Calculations'!$D$5,'Mass Ion Calculations'!$F$15+'AA Exact Masses'!$Q$2-'Mass Ion Calculations'!$E$24-'Mass Ion Calculations'!$E9-'Mass Ion Calculations'!$D$5)))</f>
        <v/>
      </c>
      <c r="W8" s="3" t="str">
        <f>IF(OR($B8="",W$3=""),"",IF('Mass Ion Calculations'!$D$6="Yes",IF('Mass Ion Calculations'!$D$7="Yes",'Mass Ion Calculations'!$D$18+'AA Exact Masses'!$Q$2-'Mass Ion Calculations'!$C$25-'Mass Ion Calculations'!$C9-'Mass Ion Calculations'!$D$5,'Mass Ion Calculations'!$F$18+'AA Exact Masses'!$Q$2-'Mass Ion Calculations'!$E$25-'Mass Ion Calculations'!$E9-'Mass Ion Calculations'!$D$5),IF('Mass Ion Calculations'!$D$7="Yes", 'Mass Ion Calculations'!$D$15+'AA Exact Masses'!$Q$2-'Mass Ion Calculations'!$C$25-'Mass Ion Calculations'!$C9-'Mass Ion Calculations'!$D$5,'Mass Ion Calculations'!$F$15+'AA Exact Masses'!$Q$2-'Mass Ion Calculations'!$E$25-'Mass Ion Calculations'!$E9-'Mass Ion Calculations'!$D$5)))</f>
        <v/>
      </c>
      <c r="X8" s="3" t="str">
        <f>IF(OR($B8="",X$3=""),"",IF('Mass Ion Calculations'!$D$6="Yes",IF('Mass Ion Calculations'!$D$7="Yes",'Mass Ion Calculations'!$D$18+'AA Exact Masses'!$Q$2-'Mass Ion Calculations'!$C$26-'Mass Ion Calculations'!$C9-'Mass Ion Calculations'!$D$5,'Mass Ion Calculations'!$F$18+'AA Exact Masses'!$Q$2-'Mass Ion Calculations'!$E$26-'Mass Ion Calculations'!$E9-'Mass Ion Calculations'!$D$5),IF('Mass Ion Calculations'!$D$7="Yes", 'Mass Ion Calculations'!$D$15+'AA Exact Masses'!$Q$2-'Mass Ion Calculations'!$C$26-'Mass Ion Calculations'!$C9-'Mass Ion Calculations'!$D$5,'Mass Ion Calculations'!$F$15+'AA Exact Masses'!$Q$2-'Mass Ion Calculations'!$E$26-'Mass Ion Calculations'!$E9-'Mass Ion Calculations'!$D$5)))</f>
        <v/>
      </c>
      <c r="Y8" s="3" t="str">
        <f>IF(OR($B8="",Y$3=""),"",IF('Mass Ion Calculations'!$D$6="Yes",IF('Mass Ion Calculations'!$D$7="Yes",'Mass Ion Calculations'!$D$18+'AA Exact Masses'!$Q$2-'Mass Ion Calculations'!$C$27-'Mass Ion Calculations'!$C9-'Mass Ion Calculations'!$D$5,'Mass Ion Calculations'!$F$18+'AA Exact Masses'!$Q$2-'Mass Ion Calculations'!$E$27-'Mass Ion Calculations'!$E9-'Mass Ion Calculations'!$D$5),IF('Mass Ion Calculations'!$D$7="Yes", 'Mass Ion Calculations'!$D$15+'AA Exact Masses'!$Q$2-'Mass Ion Calculations'!$C$27-'Mass Ion Calculations'!$C9-'Mass Ion Calculations'!$D$5,'Mass Ion Calculations'!$F$15+'AA Exact Masses'!$Q$2-'Mass Ion Calculations'!$E$27-'Mass Ion Calculations'!$E9-'Mass Ion Calculations'!$D$5)))</f>
        <v/>
      </c>
      <c r="Z8" s="3" t="str">
        <f>IF(OR($B8="",Z$3=""),"",IF('Mass Ion Calculations'!$D$6="Yes",IF('Mass Ion Calculations'!$D$7="Yes",'Mass Ion Calculations'!$D$18+'AA Exact Masses'!$Q$2-'Mass Ion Calculations'!$C$28-'Mass Ion Calculations'!$C9-'Mass Ion Calculations'!$D$5,'Mass Ion Calculations'!$F$18+'AA Exact Masses'!$Q$2-'Mass Ion Calculations'!$E$2-'Mass Ion Calculations'!$E9-'Mass Ion Calculations'!$D$5),IF('Mass Ion Calculations'!$D$7="Yes", 'Mass Ion Calculations'!$D$15+'AA Exact Masses'!$Q$2-'Mass Ion Calculations'!$C$28-'Mass Ion Calculations'!$C9-'Mass Ion Calculations'!$D$5,'Mass Ion Calculations'!$F$15+'AA Exact Masses'!$Q$2-'Mass Ion Calculations'!$E$2-'Mass Ion Calculations'!$E9-'Mass Ion Calculations'!$D$5)))</f>
        <v/>
      </c>
    </row>
    <row r="9" spans="2:26" x14ac:dyDescent="0.25">
      <c r="B9" s="4" t="str">
        <f>IF('Mass Ion Calculations'!B10="","",'Mass Ion Calculations'!B10)</f>
        <v>Leu</v>
      </c>
      <c r="C9" s="3">
        <f>IF(OR($B9="",C$3=""),"",IF('Mass Ion Calculations'!$D$6="Yes",IF('Mass Ion Calculations'!$D$7="Yes",'Mass Ion Calculations'!$D$18+'AA Exact Masses'!$Q$2-'Mass Ion Calculations'!$C$5-'Mass Ion Calculations'!$C10-'Mass Ion Calculations'!$D$5,'Mass Ion Calculations'!$F$18+'AA Exact Masses'!$Q$2-'Mass Ion Calculations'!$E$5-'Mass Ion Calculations'!E10-'Mass Ion Calculations'!$D$5),IF('Mass Ion Calculations'!$D$7="Yes", 'Mass Ion Calculations'!$D$15+'AA Exact Masses'!$Q$2-'Mass Ion Calculations'!$C$5-'Mass Ion Calculations'!$C10-'Mass Ion Calculations'!$D$5,'Mass Ion Calculations'!$F$15+'AA Exact Masses'!$Q$2-'Mass Ion Calculations'!$E$5-'Mass Ion Calculations'!E10-'Mass Ion Calculations'!$D$5)))</f>
        <v>396.76979000000006</v>
      </c>
      <c r="D9" s="3">
        <f>IF(OR($B9="",D$3=""),"",IF('Mass Ion Calculations'!$D$6="Yes",IF('Mass Ion Calculations'!$D$7="Yes",'Mass Ion Calculations'!$D$18+'AA Exact Masses'!$Q$2-'Mass Ion Calculations'!$C$6-'Mass Ion Calculations'!$C10-'Mass Ion Calculations'!$D$5,'Mass Ion Calculations'!$F$18+'AA Exact Masses'!$Q$2-'Mass Ion Calculations'!$E$6-'Mass Ion Calculations'!E10-'Mass Ion Calculations'!$D$5),IF('Mass Ion Calculations'!$D$7="Yes", 'Mass Ion Calculations'!$D$15+'AA Exact Masses'!$Q$2-'Mass Ion Calculations'!$C$6-'Mass Ion Calculations'!$C10-'Mass Ion Calculations'!$D$5,'Mass Ion Calculations'!$F$15+'AA Exact Masses'!$Q$2-'Mass Ion Calculations'!$E$6-'Mass Ion Calculations'!E10-'Mass Ion Calculations'!$D$5)))</f>
        <v>439.81200000000013</v>
      </c>
      <c r="E9" s="3">
        <f>IF(OR($B9="",E$3=""),"",IF('Mass Ion Calculations'!$D$6="Yes",IF('Mass Ion Calculations'!$D$7="Yes",'Mass Ion Calculations'!$D$18+'AA Exact Masses'!$Q$2-'Mass Ion Calculations'!$C$7-'Mass Ion Calculations'!$C10-'Mass Ion Calculations'!$D$5,'Mass Ion Calculations'!$F$18+'AA Exact Masses'!$Q$2-'Mass Ion Calculations'!$E$7-'Mass Ion Calculations'!$E10-'Mass Ion Calculations'!$D$5),IF('Mass Ion Calculations'!$D$7="Yes", 'Mass Ion Calculations'!$D$15+'AA Exact Masses'!$Q$2-'Mass Ion Calculations'!$C$7-'Mass Ion Calculations'!$C10-'Mass Ion Calculations'!$D$5,'Mass Ion Calculations'!$F$15+'AA Exact Masses'!$Q$2-'Mass Ion Calculations'!$E$7-'Mass Ion Calculations'!$E10-'Mass Ion Calculations'!$D$5)))</f>
        <v>397.7650500000002</v>
      </c>
      <c r="F9" s="3">
        <f>IF(OR($B9="",F$3=""),"",IF('Mass Ion Calculations'!$D$6="Yes",IF('Mass Ion Calculations'!$D$7="Yes",'Mass Ion Calculations'!$D$18+'AA Exact Masses'!$Q$2-'Mass Ion Calculations'!$C$8-'Mass Ion Calculations'!$C10-'Mass Ion Calculations'!$D$5,'Mass Ion Calculations'!$F$18+'AA Exact Masses'!$Q$2-'Mass Ion Calculations'!$E$8-'Mass Ion Calculations'!$E10-'Mass Ion Calculations'!$D$5),IF('Mass Ion Calculations'!$D$7="Yes", 'Mass Ion Calculations'!$D$15+'AA Exact Masses'!$Q$2-'Mass Ion Calculations'!$C$8-'Mass Ion Calculations'!$C10-'Mass Ion Calculations'!$D$5,'Mass Ion Calculations'!$F$15+'AA Exact Masses'!$Q$2-'Mass Ion Calculations'!$E$8-'Mass Ion Calculations'!$E10-'Mass Ion Calculations'!$D$5)))</f>
        <v>397.7650500000002</v>
      </c>
      <c r="G9" s="3">
        <f>IF(OR($B9="",G$3=""),"",IF('Mass Ion Calculations'!$D$6="Yes",IF('Mass Ion Calculations'!$D$7="Yes",'Mass Ion Calculations'!$D$18+'AA Exact Masses'!$Q$2-'Mass Ion Calculations'!$C$9-'Mass Ion Calculations'!$C10-'Mass Ion Calculations'!$D$5,'Mass Ion Calculations'!$F$18+'AA Exact Masses'!$Q$2-'Mass Ion Calculations'!$E$9-'Mass Ion Calculations'!$E10-'Mass Ion Calculations'!$D$5),IF('Mass Ion Calculations'!$D$7="Yes", 'Mass Ion Calculations'!$D$15+'AA Exact Masses'!$Q$2-'Mass Ion Calculations'!$C$9-'Mass Ion Calculations'!$C10-'Mass Ion Calculations'!$D$5,'Mass Ion Calculations'!$F$15+'AA Exact Masses'!$Q$2-'Mass Ion Calculations'!$E$9-'Mass Ion Calculations'!$E10-'Mass Ion Calculations'!$D$5)))</f>
        <v>439.81200000000013</v>
      </c>
      <c r="H9" s="3">
        <f>IF(OR($B9="",H$3=""),"",IF('Mass Ion Calculations'!$D$6="Yes",IF('Mass Ion Calculations'!$D$7="Yes",'Mass Ion Calculations'!$D$18+'AA Exact Masses'!$Q$2-'Mass Ion Calculations'!$C$10-'Mass Ion Calculations'!$C10-'Mass Ion Calculations'!$D$5,'Mass Ion Calculations'!$F$18+'AA Exact Masses'!$Q$2-'Mass Ion Calculations'!$E$10-'Mass Ion Calculations'!$E10-'Mass Ion Calculations'!$D$5),IF('Mass Ion Calculations'!$D$7="Yes", 'Mass Ion Calculations'!$D$15+'AA Exact Masses'!$Q$2-'Mass Ion Calculations'!$C$10-'Mass Ion Calculations'!$C10-'Mass Ion Calculations'!$D$5,'Mass Ion Calculations'!$F$15+'AA Exact Masses'!$Q$2-'Mass Ion Calculations'!$E$10-'Mass Ion Calculations'!$E10-'Mass Ion Calculations'!$D$5)))</f>
        <v>397.7650500000002</v>
      </c>
      <c r="I9" s="3">
        <f>IF(OR($B9="",I$3=""),"",IF('Mass Ion Calculations'!$D$6="Yes",IF('Mass Ion Calculations'!$D$7="Yes",'Mass Ion Calculations'!$D$18+'AA Exact Masses'!$Q$2-'Mass Ion Calculations'!$C$11-'Mass Ion Calculations'!$C10-'Mass Ion Calculations'!$D$5,'Mass Ion Calculations'!$F$18+'AA Exact Masses'!$Q$2-'Mass Ion Calculations'!$E$11-'Mass Ion Calculations'!$E10-'Mass Ion Calculations'!$D$5),IF('Mass Ion Calculations'!$D$7="Yes", 'Mass Ion Calculations'!$D$15+'AA Exact Masses'!$Q$2-'Mass Ion Calculations'!$C$11-'Mass Ion Calculations'!$C10-'Mass Ion Calculations'!$D$5,'Mass Ion Calculations'!$F$15+'AA Exact Masses'!$Q$2-'Mass Ion Calculations'!$E$11-'Mass Ion Calculations'!$E10-'Mass Ion Calculations'!$D$5)))</f>
        <v>396.76979000000006</v>
      </c>
      <c r="J9" s="3">
        <f>IF(OR($B9="",J$3=""),"",IF('Mass Ion Calculations'!$D$6="Yes",IF('Mass Ion Calculations'!$D$7="Yes",'Mass Ion Calculations'!$D$18+'AA Exact Masses'!$Q$2-'Mass Ion Calculations'!$C$12-'Mass Ion Calculations'!$C10-'Mass Ion Calculations'!$D$5,'Mass Ion Calculations'!$F$18+'AA Exact Masses'!$Q$2-'Mass Ion Calculations'!$E$12-'Mass Ion Calculations'!$E10-'Mass Ion Calculations'!$D$5),IF('Mass Ion Calculations'!$D$7="Yes", 'Mass Ion Calculations'!$D$15+'AA Exact Masses'!$Q$2-'Mass Ion Calculations'!$C$12-'Mass Ion Calculations'!$C10-'Mass Ion Calculations'!$D$5,'Mass Ion Calculations'!$F$15+'AA Exact Masses'!$Q$2-'Mass Ion Calculations'!$E$12-'Mass Ion Calculations'!$E10-'Mass Ion Calculations'!$D$5)))</f>
        <v>411.78070000000002</v>
      </c>
      <c r="K9" s="3">
        <f>IF(OR($B9="",K$3=""),"",IF('Mass Ion Calculations'!$D$6="Yes",IF('Mass Ion Calculations'!$D$7="Yes",'Mass Ion Calculations'!$D$18+'AA Exact Masses'!$Q$2-'Mass Ion Calculations'!$C$13-'Mass Ion Calculations'!$C10-'Mass Ion Calculations'!$D$5,'Mass Ion Calculations'!$F$18+'AA Exact Masses'!$Q$2-'Mass Ion Calculations'!$E$14-'Mass Ion Calculations'!$E10-'Mass Ion Calculations'!$D$5),IF('Mass Ion Calculations'!$D$7="Yes", 'Mass Ion Calculations'!$D$15+'AA Exact Masses'!$Q$2-'Mass Ion Calculations'!$C$13-'Mass Ion Calculations'!$C10-'Mass Ion Calculations'!$D$5,'Mass Ion Calculations'!$F$15+'AA Exact Masses'!$Q$2-'Mass Ion Calculations'!$E$14-'Mass Ion Calculations'!$E10-'Mass Ion Calculations'!$D$5)))</f>
        <v>381.80652000000009</v>
      </c>
      <c r="L9" s="3">
        <f>IF(OR($B9="",L$3=""),"",IF('Mass Ion Calculations'!$D$6="Yes",IF('Mass Ion Calculations'!$D$7="Yes",'Mass Ion Calculations'!$D$18+'AA Exact Masses'!$Q$2-'Mass Ion Calculations'!$C$14-'Mass Ion Calculations'!$C10-'Mass Ion Calculations'!$D$5,'Mass Ion Calculations'!$F$18+'AA Exact Masses'!$Q$2-'Mass Ion Calculations'!$E$15-'Mass Ion Calculations'!$E10-'Mass Ion Calculations'!$D$5),IF('Mass Ion Calculations'!$D$7="Yes", 'Mass Ion Calculations'!$D$15+'AA Exact Masses'!$Q$2-'Mass Ion Calculations'!$C$14-'Mass Ion Calculations'!$C10-'Mass Ion Calculations'!$D$5,'Mass Ion Calculations'!$F$15+'AA Exact Masses'!$Q$2-'Mass Ion Calculations'!$E$15-'Mass Ion Calculations'!$E10-'Mass Ion Calculations'!$D$5)))</f>
        <v>395.82217000000014</v>
      </c>
      <c r="M9" s="3">
        <f>IF(OR($B9="",M$3=""),"",IF('Mass Ion Calculations'!$D$6="Yes",IF('Mass Ion Calculations'!$D$7="Yes",'Mass Ion Calculations'!$D$18+'AA Exact Masses'!$Q$2-'Mass Ion Calculations'!$C$15-'Mass Ion Calculations'!$C10-'Mass Ion Calculations'!$D$5,'Mass Ion Calculations'!$F$18+'AA Exact Masses'!$Q$2-'Mass Ion Calculations'!$E$16-'Mass Ion Calculations'!$E10-'Mass Ion Calculations'!$D$5),IF('Mass Ion Calculations'!$D$7="Yes", 'Mass Ion Calculations'!$D$15+'AA Exact Masses'!$Q$2-'Mass Ion Calculations'!$C$15-'Mass Ion Calculations'!$C10-'Mass Ion Calculations'!$D$5,'Mass Ion Calculations'!$F$15+'AA Exact Masses'!$Q$2-'Mass Ion Calculations'!$E$16-'Mass Ion Calculations'!$E10-'Mass Ion Calculations'!$D$5)))</f>
        <v>439.81200000000013</v>
      </c>
      <c r="N9" s="3">
        <f>IF(OR($B9="",N$3=""),"",IF('Mass Ion Calculations'!$D$6="Yes",IF('Mass Ion Calculations'!$D$7="Yes",'Mass Ion Calculations'!$D$18+'AA Exact Masses'!$Q$2-'Mass Ion Calculations'!$C$16-'Mass Ion Calculations'!$C10-'Mass Ion Calculations'!$D$5,'Mass Ion Calculations'!$F$18+'AA Exact Masses'!$Q$2-'Mass Ion Calculations'!$E$17-'Mass Ion Calculations'!$E10-'Mass Ion Calculations'!$D$5),IF('Mass Ion Calculations'!$D$7="Yes", 'Mass Ion Calculations'!$D$15+'AA Exact Masses'!$Q$2-'Mass Ion Calculations'!$C$16-'Mass Ion Calculations'!$C10-'Mass Ion Calculations'!$D$5,'Mass Ion Calculations'!$F$15+'AA Exact Masses'!$Q$2-'Mass Ion Calculations'!$E$17-'Mass Ion Calculations'!$E10-'Mass Ion Calculations'!$D$5)))</f>
        <v>363.78070000000002</v>
      </c>
      <c r="O9" s="3">
        <f>IF(OR($B9="",O$3=""),"",IF('Mass Ion Calculations'!$D$6="Yes",IF('Mass Ion Calculations'!$D$7="Yes",'Mass Ion Calculations'!$D$18+'AA Exact Masses'!$Q$2-'Mass Ion Calculations'!$C$17-'Mass Ion Calculations'!$C10-'Mass Ion Calculations'!$D$5,'Mass Ion Calculations'!$F$18+'AA Exact Masses'!$Q$2-'Mass Ion Calculations'!$E$18-'Mass Ion Calculations'!$E10-'Mass Ion Calculations'!$D$5),IF('Mass Ion Calculations'!$D$7="Yes", 'Mass Ion Calculations'!$D$15+'AA Exact Masses'!$Q$2-'Mass Ion Calculations'!$C$17-'Mass Ion Calculations'!$C10-'Mass Ion Calculations'!$D$5,'Mass Ion Calculations'!$F$15+'AA Exact Masses'!$Q$2-'Mass Ion Calculations'!$E$18-'Mass Ion Calculations'!$E10-'Mass Ion Calculations'!$D$5)))</f>
        <v>237.88405000000012</v>
      </c>
      <c r="P9" s="3">
        <f>IF(OR($B9="",P$3=""),"",IF('Mass Ion Calculations'!$D$6="Yes",IF('Mass Ion Calculations'!$D$7="Yes",'Mass Ion Calculations'!$D$18+'AA Exact Masses'!$Q$2-'Mass Ion Calculations'!$C$19-'Mass Ion Calculations'!$C10-'Mass Ion Calculations'!$D$5,'Mass Ion Calculations'!$F$18+'AA Exact Masses'!$Q$2-'Mass Ion Calculations'!$E$19-'Mass Ion Calculations'!$E10-'Mass Ion Calculations'!$D$5),IF('Mass Ion Calculations'!$D$7="Yes", 'Mass Ion Calculations'!$D$15+'AA Exact Masses'!$Q$2-'Mass Ion Calculations'!$C$19-'Mass Ion Calculations'!$C10-'Mass Ion Calculations'!$D$5,'Mass Ion Calculations'!$F$15+'AA Exact Masses'!$Q$2-'Mass Ion Calculations'!$E$19-'Mass Ion Calculations'!$E10-'Mass Ion Calculations'!$D$5)))</f>
        <v>411.78070000000002</v>
      </c>
      <c r="Q9" s="3">
        <f>IF(OR($B9="",Q$3=""),"",IF('Mass Ion Calculations'!$D$6="Yes",IF('Mass Ion Calculations'!$D$7="Yes",'Mass Ion Calculations'!$D$18+'AA Exact Masses'!$Q$2-'Mass Ion Calculations'!$C$20-'Mass Ion Calculations'!$C10-'Mass Ion Calculations'!$D$5,'Mass Ion Calculations'!$F$18+'AA Exact Masses'!$Q$2-'Mass Ion Calculations'!$E$20-'Mass Ion Calculations'!$E10-'Mass Ion Calculations'!$D$5),IF('Mass Ion Calculations'!$D$7="Yes", 'Mass Ion Calculations'!$D$15+'AA Exact Masses'!$Q$2-'Mass Ion Calculations'!$C$20-'Mass Ion Calculations'!$C10-'Mass Ion Calculations'!$D$5,'Mass Ion Calculations'!$F$15+'AA Exact Masses'!$Q$2-'Mass Ion Calculations'!$E$20-'Mass Ion Calculations'!$E10-'Mass Ion Calculations'!$D$5)))</f>
        <v>397.7650500000002</v>
      </c>
      <c r="R9" s="3" t="e">
        <f>IF(OR($B9="",R$3=""),"",IF('Mass Ion Calculations'!$D$6="Yes",IF('Mass Ion Calculations'!$D$7="Yes",'Mass Ion Calculations'!$D$18+'AA Exact Masses'!$Q$2-'Mass Ion Calculations'!$C$21-'Mass Ion Calculations'!$C10-'Mass Ion Calculations'!$D$5,'Mass Ion Calculations'!$F$18+'AA Exact Masses'!$Q$2-'Mass Ion Calculations'!$E$21-'Mass Ion Calculations'!$E10-'Mass Ion Calculations'!$D$5),IF('Mass Ion Calculations'!$D$7="Yes", 'Mass Ion Calculations'!$D$15+'AA Exact Masses'!$Q$2-'Mass Ion Calculations'!$C$21-'Mass Ion Calculations'!$C10-'Mass Ion Calculations'!$D$5,'Mass Ion Calculations'!$F$15+'AA Exact Masses'!$Q$2-'Mass Ion Calculations'!$E$21-'Mass Ion Calculations'!$E10-'Mass Ion Calculations'!$D$5)))</f>
        <v>#VALUE!</v>
      </c>
      <c r="S9" s="3" t="str">
        <f>IF(OR($B9="",S$3=""),"",IF('Mass Ion Calculations'!$D$6="Yes",IF('Mass Ion Calculations'!$D$7="Yes",'Mass Ion Calculations'!$D$18+'AA Exact Masses'!$Q$2-'Mass Ion Calculations'!$C$21-'Mass Ion Calculations'!$C10-'Mass Ion Calculations'!$D$5,'Mass Ion Calculations'!$F$18+'AA Exact Masses'!$Q$2-'Mass Ion Calculations'!$E$21-'Mass Ion Calculations'!$E10-'Mass Ion Calculations'!$D$5),IF('Mass Ion Calculations'!$D$7="Yes", 'Mass Ion Calculations'!$D$15+'AA Exact Masses'!$Q$2-'Mass Ion Calculations'!$C$21-'Mass Ion Calculations'!$C10-'Mass Ion Calculations'!$D$5,'Mass Ion Calculations'!$F$15+'AA Exact Masses'!$Q$2-'Mass Ion Calculations'!$E$21-'Mass Ion Calculations'!$E10-'Mass Ion Calculations'!$D$5)))</f>
        <v/>
      </c>
      <c r="T9" s="3" t="e">
        <f>IF(OR($B9="",T$3=""),"",IF('Mass Ion Calculations'!$D$6="Yes",IF('Mass Ion Calculations'!$D$7="Yes",'Mass Ion Calculations'!$D$18+'AA Exact Masses'!$Q$2-'Mass Ion Calculations'!$C$22-'Mass Ion Calculations'!$C10-'Mass Ion Calculations'!$D$5,'Mass Ion Calculations'!$F$18+'AA Exact Masses'!$Q$2-'Mass Ion Calculations'!$E$22-'Mass Ion Calculations'!$E10-'Mass Ion Calculations'!$D$5),IF('Mass Ion Calculations'!$D$7="Yes", 'Mass Ion Calculations'!$D$15+'AA Exact Masses'!$Q$2-'Mass Ion Calculations'!$C$22-'Mass Ion Calculations'!$C10-'Mass Ion Calculations'!$D$5,'Mass Ion Calculations'!$F$15+'AA Exact Masses'!$Q$2-'Mass Ion Calculations'!$E$22-'Mass Ion Calculations'!$E10-'Mass Ion Calculations'!$D$5)))</f>
        <v>#VALUE!</v>
      </c>
      <c r="U9" s="3" t="e">
        <f>IF(OR($B9="",U$3=""),"",IF('Mass Ion Calculations'!$D$6="Yes",IF('Mass Ion Calculations'!$D$7="Yes",'Mass Ion Calculations'!$D$18+'AA Exact Masses'!$Q$2-'Mass Ion Calculations'!$C$23-'Mass Ion Calculations'!$C10-'Mass Ion Calculations'!$D$5,'Mass Ion Calculations'!$F$18+'AA Exact Masses'!$Q$2-'Mass Ion Calculations'!$E$23-'Mass Ion Calculations'!$E10-'Mass Ion Calculations'!$D$5),IF('Mass Ion Calculations'!$D$7="Yes", 'Mass Ion Calculations'!$D$15+'AA Exact Masses'!$Q$2-'Mass Ion Calculations'!$C$23-'Mass Ion Calculations'!$C10-'Mass Ion Calculations'!$D$5,'Mass Ion Calculations'!$F$15+'AA Exact Masses'!$Q$2-'Mass Ion Calculations'!$E$23-'Mass Ion Calculations'!$E10-'Mass Ion Calculations'!$D$5)))</f>
        <v>#VALUE!</v>
      </c>
      <c r="V9" s="3" t="str">
        <f>IF(OR($B9="",V$3=""),"",IF('Mass Ion Calculations'!$D$6="Yes",IF('Mass Ion Calculations'!$D$7="Yes",'Mass Ion Calculations'!$D$18+'AA Exact Masses'!$Q$2-'Mass Ion Calculations'!$C$24-'Mass Ion Calculations'!$C10-'Mass Ion Calculations'!$D$5,'Mass Ion Calculations'!$F$18+'AA Exact Masses'!$Q$2-'Mass Ion Calculations'!$E$24-'Mass Ion Calculations'!$E10-'Mass Ion Calculations'!$D$5),IF('Mass Ion Calculations'!$D$7="Yes", 'Mass Ion Calculations'!$D$15+'AA Exact Masses'!$Q$2-'Mass Ion Calculations'!$C$24-'Mass Ion Calculations'!$C10-'Mass Ion Calculations'!$D$5,'Mass Ion Calculations'!$F$15+'AA Exact Masses'!$Q$2-'Mass Ion Calculations'!$E$24-'Mass Ion Calculations'!$E10-'Mass Ion Calculations'!$D$5)))</f>
        <v/>
      </c>
      <c r="W9" s="3" t="str">
        <f>IF(OR($B9="",W$3=""),"",IF('Mass Ion Calculations'!$D$6="Yes",IF('Mass Ion Calculations'!$D$7="Yes",'Mass Ion Calculations'!$D$18+'AA Exact Masses'!$Q$2-'Mass Ion Calculations'!$C$25-'Mass Ion Calculations'!$C10-'Mass Ion Calculations'!$D$5,'Mass Ion Calculations'!$F$18+'AA Exact Masses'!$Q$2-'Mass Ion Calculations'!$E$25-'Mass Ion Calculations'!$E10-'Mass Ion Calculations'!$D$5),IF('Mass Ion Calculations'!$D$7="Yes", 'Mass Ion Calculations'!$D$15+'AA Exact Masses'!$Q$2-'Mass Ion Calculations'!$C$25-'Mass Ion Calculations'!$C10-'Mass Ion Calculations'!$D$5,'Mass Ion Calculations'!$F$15+'AA Exact Masses'!$Q$2-'Mass Ion Calculations'!$E$25-'Mass Ion Calculations'!$E10-'Mass Ion Calculations'!$D$5)))</f>
        <v/>
      </c>
      <c r="X9" s="3" t="str">
        <f>IF(OR($B9="",X$3=""),"",IF('Mass Ion Calculations'!$D$6="Yes",IF('Mass Ion Calculations'!$D$7="Yes",'Mass Ion Calculations'!$D$18+'AA Exact Masses'!$Q$2-'Mass Ion Calculations'!$C$26-'Mass Ion Calculations'!$C10-'Mass Ion Calculations'!$D$5,'Mass Ion Calculations'!$F$18+'AA Exact Masses'!$Q$2-'Mass Ion Calculations'!$E$26-'Mass Ion Calculations'!$E10-'Mass Ion Calculations'!$D$5),IF('Mass Ion Calculations'!$D$7="Yes", 'Mass Ion Calculations'!$D$15+'AA Exact Masses'!$Q$2-'Mass Ion Calculations'!$C$26-'Mass Ion Calculations'!$C10-'Mass Ion Calculations'!$D$5,'Mass Ion Calculations'!$F$15+'AA Exact Masses'!$Q$2-'Mass Ion Calculations'!$E$26-'Mass Ion Calculations'!$E10-'Mass Ion Calculations'!$D$5)))</f>
        <v/>
      </c>
      <c r="Y9" s="3" t="str">
        <f>IF(OR($B9="",Y$3=""),"",IF('Mass Ion Calculations'!$D$6="Yes",IF('Mass Ion Calculations'!$D$7="Yes",'Mass Ion Calculations'!$D$18+'AA Exact Masses'!$Q$2-'Mass Ion Calculations'!$C$27-'Mass Ion Calculations'!$C10-'Mass Ion Calculations'!$D$5,'Mass Ion Calculations'!$F$18+'AA Exact Masses'!$Q$2-'Mass Ion Calculations'!$E$27-'Mass Ion Calculations'!$E10-'Mass Ion Calculations'!$D$5),IF('Mass Ion Calculations'!$D$7="Yes", 'Mass Ion Calculations'!$D$15+'AA Exact Masses'!$Q$2-'Mass Ion Calculations'!$C$27-'Mass Ion Calculations'!$C10-'Mass Ion Calculations'!$D$5,'Mass Ion Calculations'!$F$15+'AA Exact Masses'!$Q$2-'Mass Ion Calculations'!$E$27-'Mass Ion Calculations'!$E10-'Mass Ion Calculations'!$D$5)))</f>
        <v/>
      </c>
      <c r="Z9" s="3" t="str">
        <f>IF(OR($B9="",Z$3=""),"",IF('Mass Ion Calculations'!$D$6="Yes",IF('Mass Ion Calculations'!$D$7="Yes",'Mass Ion Calculations'!$D$18+'AA Exact Masses'!$Q$2-'Mass Ion Calculations'!$C$28-'Mass Ion Calculations'!$C10-'Mass Ion Calculations'!$D$5,'Mass Ion Calculations'!$F$18+'AA Exact Masses'!$Q$2-'Mass Ion Calculations'!$E$2-'Mass Ion Calculations'!$E10-'Mass Ion Calculations'!$D$5),IF('Mass Ion Calculations'!$D$7="Yes", 'Mass Ion Calculations'!$D$15+'AA Exact Masses'!$Q$2-'Mass Ion Calculations'!$C$28-'Mass Ion Calculations'!$C10-'Mass Ion Calculations'!$D$5,'Mass Ion Calculations'!$F$15+'AA Exact Masses'!$Q$2-'Mass Ion Calculations'!$E$2-'Mass Ion Calculations'!$E10-'Mass Ion Calculations'!$D$5)))</f>
        <v/>
      </c>
    </row>
    <row r="10" spans="2:26" x14ac:dyDescent="0.25">
      <c r="B10" s="4" t="str">
        <f>IF('Mass Ion Calculations'!B11="","",'Mass Ion Calculations'!B11)</f>
        <v>Orn(Boc)</v>
      </c>
      <c r="C10" s="3">
        <f>IF(OR($B10="",C$3=""),"",IF('Mass Ion Calculations'!$D$6="Yes",IF('Mass Ion Calculations'!$D$7="Yes",'Mass Ion Calculations'!$D$18+'AA Exact Masses'!$Q$2-'Mass Ion Calculations'!$C$5-'Mass Ion Calculations'!$C11-'Mass Ion Calculations'!$D$5,'Mass Ion Calculations'!$F$18+'AA Exact Masses'!$Q$2-'Mass Ion Calculations'!$E$5-'Mass Ion Calculations'!E11-'Mass Ion Calculations'!$D$5),IF('Mass Ion Calculations'!$D$7="Yes", 'Mass Ion Calculations'!$D$15+'AA Exact Masses'!$Q$2-'Mass Ion Calculations'!$C$5-'Mass Ion Calculations'!$C11-'Mass Ion Calculations'!$D$5,'Mass Ion Calculations'!$F$15+'AA Exact Masses'!$Q$2-'Mass Ion Calculations'!$E$5-'Mass Ion Calculations'!E11-'Mass Ion Calculations'!$D$5)))</f>
        <v>395.77452999999991</v>
      </c>
      <c r="D10" s="3">
        <f>IF(OR($B10="",D$3=""),"",IF('Mass Ion Calculations'!$D$6="Yes",IF('Mass Ion Calculations'!$D$7="Yes",'Mass Ion Calculations'!$D$18+'AA Exact Masses'!$Q$2-'Mass Ion Calculations'!$C$6-'Mass Ion Calculations'!$C11-'Mass Ion Calculations'!$D$5,'Mass Ion Calculations'!$F$18+'AA Exact Masses'!$Q$2-'Mass Ion Calculations'!$E$6-'Mass Ion Calculations'!E11-'Mass Ion Calculations'!$D$5),IF('Mass Ion Calculations'!$D$7="Yes", 'Mass Ion Calculations'!$D$15+'AA Exact Masses'!$Q$2-'Mass Ion Calculations'!$C$6-'Mass Ion Calculations'!$C11-'Mass Ion Calculations'!$D$5,'Mass Ion Calculations'!$F$15+'AA Exact Masses'!$Q$2-'Mass Ion Calculations'!$E$6-'Mass Ion Calculations'!E11-'Mass Ion Calculations'!$D$5)))</f>
        <v>438.81673999999998</v>
      </c>
      <c r="E10" s="3">
        <f>IF(OR($B10="",E$3=""),"",IF('Mass Ion Calculations'!$D$6="Yes",IF('Mass Ion Calculations'!$D$7="Yes",'Mass Ion Calculations'!$D$18+'AA Exact Masses'!$Q$2-'Mass Ion Calculations'!$C$7-'Mass Ion Calculations'!$C11-'Mass Ion Calculations'!$D$5,'Mass Ion Calculations'!$F$18+'AA Exact Masses'!$Q$2-'Mass Ion Calculations'!$E$7-'Mass Ion Calculations'!$E11-'Mass Ion Calculations'!$D$5),IF('Mass Ion Calculations'!$D$7="Yes", 'Mass Ion Calculations'!$D$15+'AA Exact Masses'!$Q$2-'Mass Ion Calculations'!$C$7-'Mass Ion Calculations'!$C11-'Mass Ion Calculations'!$D$5,'Mass Ion Calculations'!$F$15+'AA Exact Masses'!$Q$2-'Mass Ion Calculations'!$E$7-'Mass Ion Calculations'!$E11-'Mass Ion Calculations'!$D$5)))</f>
        <v>396.76979000000006</v>
      </c>
      <c r="F10" s="3">
        <f>IF(OR($B10="",F$3=""),"",IF('Mass Ion Calculations'!$D$6="Yes",IF('Mass Ion Calculations'!$D$7="Yes",'Mass Ion Calculations'!$D$18+'AA Exact Masses'!$Q$2-'Mass Ion Calculations'!$C$8-'Mass Ion Calculations'!$C11-'Mass Ion Calculations'!$D$5,'Mass Ion Calculations'!$F$18+'AA Exact Masses'!$Q$2-'Mass Ion Calculations'!$E$8-'Mass Ion Calculations'!$E11-'Mass Ion Calculations'!$D$5),IF('Mass Ion Calculations'!$D$7="Yes", 'Mass Ion Calculations'!$D$15+'AA Exact Masses'!$Q$2-'Mass Ion Calculations'!$C$8-'Mass Ion Calculations'!$C11-'Mass Ion Calculations'!$D$5,'Mass Ion Calculations'!$F$15+'AA Exact Masses'!$Q$2-'Mass Ion Calculations'!$E$8-'Mass Ion Calculations'!$E11-'Mass Ion Calculations'!$D$5)))</f>
        <v>396.76979000000006</v>
      </c>
      <c r="G10" s="3">
        <f>IF(OR($B10="",G$3=""),"",IF('Mass Ion Calculations'!$D$6="Yes",IF('Mass Ion Calculations'!$D$7="Yes",'Mass Ion Calculations'!$D$18+'AA Exact Masses'!$Q$2-'Mass Ion Calculations'!$C$9-'Mass Ion Calculations'!$C11-'Mass Ion Calculations'!$D$5,'Mass Ion Calculations'!$F$18+'AA Exact Masses'!$Q$2-'Mass Ion Calculations'!$E$9-'Mass Ion Calculations'!$E11-'Mass Ion Calculations'!$D$5),IF('Mass Ion Calculations'!$D$7="Yes", 'Mass Ion Calculations'!$D$15+'AA Exact Masses'!$Q$2-'Mass Ion Calculations'!$C$9-'Mass Ion Calculations'!$C11-'Mass Ion Calculations'!$D$5,'Mass Ion Calculations'!$F$15+'AA Exact Masses'!$Q$2-'Mass Ion Calculations'!$E$9-'Mass Ion Calculations'!$E11-'Mass Ion Calculations'!$D$5)))</f>
        <v>438.81673999999998</v>
      </c>
      <c r="H10" s="3">
        <f>IF(OR($B10="",H$3=""),"",IF('Mass Ion Calculations'!$D$6="Yes",IF('Mass Ion Calculations'!$D$7="Yes",'Mass Ion Calculations'!$D$18+'AA Exact Masses'!$Q$2-'Mass Ion Calculations'!$C$10-'Mass Ion Calculations'!$C11-'Mass Ion Calculations'!$D$5,'Mass Ion Calculations'!$F$18+'AA Exact Masses'!$Q$2-'Mass Ion Calculations'!$E$10-'Mass Ion Calculations'!$E11-'Mass Ion Calculations'!$D$5),IF('Mass Ion Calculations'!$D$7="Yes", 'Mass Ion Calculations'!$D$15+'AA Exact Masses'!$Q$2-'Mass Ion Calculations'!$C$10-'Mass Ion Calculations'!$C11-'Mass Ion Calculations'!$D$5,'Mass Ion Calculations'!$F$15+'AA Exact Masses'!$Q$2-'Mass Ion Calculations'!$E$10-'Mass Ion Calculations'!$E11-'Mass Ion Calculations'!$D$5)))</f>
        <v>396.76979000000006</v>
      </c>
      <c r="I10" s="3">
        <f>IF(OR($B10="",I$3=""),"",IF('Mass Ion Calculations'!$D$6="Yes",IF('Mass Ion Calculations'!$D$7="Yes",'Mass Ion Calculations'!$D$18+'AA Exact Masses'!$Q$2-'Mass Ion Calculations'!$C$11-'Mass Ion Calculations'!$C11-'Mass Ion Calculations'!$D$5,'Mass Ion Calculations'!$F$18+'AA Exact Masses'!$Q$2-'Mass Ion Calculations'!$E$11-'Mass Ion Calculations'!$E11-'Mass Ion Calculations'!$D$5),IF('Mass Ion Calculations'!$D$7="Yes", 'Mass Ion Calculations'!$D$15+'AA Exact Masses'!$Q$2-'Mass Ion Calculations'!$C$11-'Mass Ion Calculations'!$C11-'Mass Ion Calculations'!$D$5,'Mass Ion Calculations'!$F$15+'AA Exact Masses'!$Q$2-'Mass Ion Calculations'!$E$11-'Mass Ion Calculations'!$E11-'Mass Ion Calculations'!$D$5)))</f>
        <v>395.77452999999991</v>
      </c>
      <c r="J10" s="3">
        <f>IF(OR($B10="",J$3=""),"",IF('Mass Ion Calculations'!$D$6="Yes",IF('Mass Ion Calculations'!$D$7="Yes",'Mass Ion Calculations'!$D$18+'AA Exact Masses'!$Q$2-'Mass Ion Calculations'!$C$12-'Mass Ion Calculations'!$C11-'Mass Ion Calculations'!$D$5,'Mass Ion Calculations'!$F$18+'AA Exact Masses'!$Q$2-'Mass Ion Calculations'!$E$12-'Mass Ion Calculations'!$E11-'Mass Ion Calculations'!$D$5),IF('Mass Ion Calculations'!$D$7="Yes", 'Mass Ion Calculations'!$D$15+'AA Exact Masses'!$Q$2-'Mass Ion Calculations'!$C$12-'Mass Ion Calculations'!$C11-'Mass Ion Calculations'!$D$5,'Mass Ion Calculations'!$F$15+'AA Exact Masses'!$Q$2-'Mass Ion Calculations'!$E$12-'Mass Ion Calculations'!$E11-'Mass Ion Calculations'!$D$5)))</f>
        <v>410.78543999999988</v>
      </c>
      <c r="K10" s="3">
        <f>IF(OR($B10="",K$3=""),"",IF('Mass Ion Calculations'!$D$6="Yes",IF('Mass Ion Calculations'!$D$7="Yes",'Mass Ion Calculations'!$D$18+'AA Exact Masses'!$Q$2-'Mass Ion Calculations'!$C$13-'Mass Ion Calculations'!$C11-'Mass Ion Calculations'!$D$5,'Mass Ion Calculations'!$F$18+'AA Exact Masses'!$Q$2-'Mass Ion Calculations'!$E$14-'Mass Ion Calculations'!$E11-'Mass Ion Calculations'!$D$5),IF('Mass Ion Calculations'!$D$7="Yes", 'Mass Ion Calculations'!$D$15+'AA Exact Masses'!$Q$2-'Mass Ion Calculations'!$C$13-'Mass Ion Calculations'!$C11-'Mass Ion Calculations'!$D$5,'Mass Ion Calculations'!$F$15+'AA Exact Masses'!$Q$2-'Mass Ion Calculations'!$E$14-'Mass Ion Calculations'!$E11-'Mass Ion Calculations'!$D$5)))</f>
        <v>380.81125999999995</v>
      </c>
      <c r="L10" s="3">
        <f>IF(OR($B10="",L$3=""),"",IF('Mass Ion Calculations'!$D$6="Yes",IF('Mass Ion Calculations'!$D$7="Yes",'Mass Ion Calculations'!$D$18+'AA Exact Masses'!$Q$2-'Mass Ion Calculations'!$C$14-'Mass Ion Calculations'!$C11-'Mass Ion Calculations'!$D$5,'Mass Ion Calculations'!$F$18+'AA Exact Masses'!$Q$2-'Mass Ion Calculations'!$E$15-'Mass Ion Calculations'!$E11-'Mass Ion Calculations'!$D$5),IF('Mass Ion Calculations'!$D$7="Yes", 'Mass Ion Calculations'!$D$15+'AA Exact Masses'!$Q$2-'Mass Ion Calculations'!$C$14-'Mass Ion Calculations'!$C11-'Mass Ion Calculations'!$D$5,'Mass Ion Calculations'!$F$15+'AA Exact Masses'!$Q$2-'Mass Ion Calculations'!$E$15-'Mass Ion Calculations'!$E11-'Mass Ion Calculations'!$D$5)))</f>
        <v>394.82691</v>
      </c>
      <c r="M10" s="3">
        <f>IF(OR($B10="",M$3=""),"",IF('Mass Ion Calculations'!$D$6="Yes",IF('Mass Ion Calculations'!$D$7="Yes",'Mass Ion Calculations'!$D$18+'AA Exact Masses'!$Q$2-'Mass Ion Calculations'!$C$15-'Mass Ion Calculations'!$C11-'Mass Ion Calculations'!$D$5,'Mass Ion Calculations'!$F$18+'AA Exact Masses'!$Q$2-'Mass Ion Calculations'!$E$16-'Mass Ion Calculations'!$E11-'Mass Ion Calculations'!$D$5),IF('Mass Ion Calculations'!$D$7="Yes", 'Mass Ion Calculations'!$D$15+'AA Exact Masses'!$Q$2-'Mass Ion Calculations'!$C$15-'Mass Ion Calculations'!$C11-'Mass Ion Calculations'!$D$5,'Mass Ion Calculations'!$F$15+'AA Exact Masses'!$Q$2-'Mass Ion Calculations'!$E$16-'Mass Ion Calculations'!$E11-'Mass Ion Calculations'!$D$5)))</f>
        <v>438.81673999999998</v>
      </c>
      <c r="N10" s="3">
        <f>IF(OR($B10="",N$3=""),"",IF('Mass Ion Calculations'!$D$6="Yes",IF('Mass Ion Calculations'!$D$7="Yes",'Mass Ion Calculations'!$D$18+'AA Exact Masses'!$Q$2-'Mass Ion Calculations'!$C$16-'Mass Ion Calculations'!$C11-'Mass Ion Calculations'!$D$5,'Mass Ion Calculations'!$F$18+'AA Exact Masses'!$Q$2-'Mass Ion Calculations'!$E$17-'Mass Ion Calculations'!$E11-'Mass Ion Calculations'!$D$5),IF('Mass Ion Calculations'!$D$7="Yes", 'Mass Ion Calculations'!$D$15+'AA Exact Masses'!$Q$2-'Mass Ion Calculations'!$C$16-'Mass Ion Calculations'!$C11-'Mass Ion Calculations'!$D$5,'Mass Ion Calculations'!$F$15+'AA Exact Masses'!$Q$2-'Mass Ion Calculations'!$E$17-'Mass Ion Calculations'!$E11-'Mass Ion Calculations'!$D$5)))</f>
        <v>362.78543999999988</v>
      </c>
      <c r="O10" s="3">
        <f>IF(OR($B10="",O$3=""),"",IF('Mass Ion Calculations'!$D$6="Yes",IF('Mass Ion Calculations'!$D$7="Yes",'Mass Ion Calculations'!$D$18+'AA Exact Masses'!$Q$2-'Mass Ion Calculations'!$C$17-'Mass Ion Calculations'!$C11-'Mass Ion Calculations'!$D$5,'Mass Ion Calculations'!$F$18+'AA Exact Masses'!$Q$2-'Mass Ion Calculations'!$E$18-'Mass Ion Calculations'!$E11-'Mass Ion Calculations'!$D$5),IF('Mass Ion Calculations'!$D$7="Yes", 'Mass Ion Calculations'!$D$15+'AA Exact Masses'!$Q$2-'Mass Ion Calculations'!$C$17-'Mass Ion Calculations'!$C11-'Mass Ion Calculations'!$D$5,'Mass Ion Calculations'!$F$15+'AA Exact Masses'!$Q$2-'Mass Ion Calculations'!$E$18-'Mass Ion Calculations'!$E11-'Mass Ion Calculations'!$D$5)))</f>
        <v>236.88878999999997</v>
      </c>
      <c r="P10" s="3">
        <f>IF(OR($B10="",P$3=""),"",IF('Mass Ion Calculations'!$D$6="Yes",IF('Mass Ion Calculations'!$D$7="Yes",'Mass Ion Calculations'!$D$18+'AA Exact Masses'!$Q$2-'Mass Ion Calculations'!$C$19-'Mass Ion Calculations'!$C11-'Mass Ion Calculations'!$D$5,'Mass Ion Calculations'!$F$18+'AA Exact Masses'!$Q$2-'Mass Ion Calculations'!$E$19-'Mass Ion Calculations'!$E11-'Mass Ion Calculations'!$D$5),IF('Mass Ion Calculations'!$D$7="Yes", 'Mass Ion Calculations'!$D$15+'AA Exact Masses'!$Q$2-'Mass Ion Calculations'!$C$19-'Mass Ion Calculations'!$C11-'Mass Ion Calculations'!$D$5,'Mass Ion Calculations'!$F$15+'AA Exact Masses'!$Q$2-'Mass Ion Calculations'!$E$19-'Mass Ion Calculations'!$E11-'Mass Ion Calculations'!$D$5)))</f>
        <v>410.78543999999988</v>
      </c>
      <c r="Q10" s="3">
        <f>IF(OR($B10="",Q$3=""),"",IF('Mass Ion Calculations'!$D$6="Yes",IF('Mass Ion Calculations'!$D$7="Yes",'Mass Ion Calculations'!$D$18+'AA Exact Masses'!$Q$2-'Mass Ion Calculations'!$C$20-'Mass Ion Calculations'!$C11-'Mass Ion Calculations'!$D$5,'Mass Ion Calculations'!$F$18+'AA Exact Masses'!$Q$2-'Mass Ion Calculations'!$E$20-'Mass Ion Calculations'!$E11-'Mass Ion Calculations'!$D$5),IF('Mass Ion Calculations'!$D$7="Yes", 'Mass Ion Calculations'!$D$15+'AA Exact Masses'!$Q$2-'Mass Ion Calculations'!$C$20-'Mass Ion Calculations'!$C11-'Mass Ion Calculations'!$D$5,'Mass Ion Calculations'!$F$15+'AA Exact Masses'!$Q$2-'Mass Ion Calculations'!$E$20-'Mass Ion Calculations'!$E11-'Mass Ion Calculations'!$D$5)))</f>
        <v>396.76979000000006</v>
      </c>
      <c r="R10" s="3" t="e">
        <f>IF(OR($B10="",R$3=""),"",IF('Mass Ion Calculations'!$D$6="Yes",IF('Mass Ion Calculations'!$D$7="Yes",'Mass Ion Calculations'!$D$18+'AA Exact Masses'!$Q$2-'Mass Ion Calculations'!$C$21-'Mass Ion Calculations'!$C11-'Mass Ion Calculations'!$D$5,'Mass Ion Calculations'!$F$18+'AA Exact Masses'!$Q$2-'Mass Ion Calculations'!$E$21-'Mass Ion Calculations'!$E11-'Mass Ion Calculations'!$D$5),IF('Mass Ion Calculations'!$D$7="Yes", 'Mass Ion Calculations'!$D$15+'AA Exact Masses'!$Q$2-'Mass Ion Calculations'!$C$21-'Mass Ion Calculations'!$C11-'Mass Ion Calculations'!$D$5,'Mass Ion Calculations'!$F$15+'AA Exact Masses'!$Q$2-'Mass Ion Calculations'!$E$21-'Mass Ion Calculations'!$E11-'Mass Ion Calculations'!$D$5)))</f>
        <v>#VALUE!</v>
      </c>
      <c r="S10" s="3" t="str">
        <f>IF(OR($B10="",S$3=""),"",IF('Mass Ion Calculations'!$D$6="Yes",IF('Mass Ion Calculations'!$D$7="Yes",'Mass Ion Calculations'!$D$18+'AA Exact Masses'!$Q$2-'Mass Ion Calculations'!$C$21-'Mass Ion Calculations'!$C11-'Mass Ion Calculations'!$D$5,'Mass Ion Calculations'!$F$18+'AA Exact Masses'!$Q$2-'Mass Ion Calculations'!$E$21-'Mass Ion Calculations'!$E11-'Mass Ion Calculations'!$D$5),IF('Mass Ion Calculations'!$D$7="Yes", 'Mass Ion Calculations'!$D$15+'AA Exact Masses'!$Q$2-'Mass Ion Calculations'!$C$21-'Mass Ion Calculations'!$C11-'Mass Ion Calculations'!$D$5,'Mass Ion Calculations'!$F$15+'AA Exact Masses'!$Q$2-'Mass Ion Calculations'!$E$21-'Mass Ion Calculations'!$E11-'Mass Ion Calculations'!$D$5)))</f>
        <v/>
      </c>
      <c r="T10" s="3" t="e">
        <f>IF(OR($B10="",T$3=""),"",IF('Mass Ion Calculations'!$D$6="Yes",IF('Mass Ion Calculations'!$D$7="Yes",'Mass Ion Calculations'!$D$18+'AA Exact Masses'!$Q$2-'Mass Ion Calculations'!$C$22-'Mass Ion Calculations'!$C11-'Mass Ion Calculations'!$D$5,'Mass Ion Calculations'!$F$18+'AA Exact Masses'!$Q$2-'Mass Ion Calculations'!$E$22-'Mass Ion Calculations'!$E11-'Mass Ion Calculations'!$D$5),IF('Mass Ion Calculations'!$D$7="Yes", 'Mass Ion Calculations'!$D$15+'AA Exact Masses'!$Q$2-'Mass Ion Calculations'!$C$22-'Mass Ion Calculations'!$C11-'Mass Ion Calculations'!$D$5,'Mass Ion Calculations'!$F$15+'AA Exact Masses'!$Q$2-'Mass Ion Calculations'!$E$22-'Mass Ion Calculations'!$E11-'Mass Ion Calculations'!$D$5)))</f>
        <v>#VALUE!</v>
      </c>
      <c r="U10" s="3" t="e">
        <f>IF(OR($B10="",U$3=""),"",IF('Mass Ion Calculations'!$D$6="Yes",IF('Mass Ion Calculations'!$D$7="Yes",'Mass Ion Calculations'!$D$18+'AA Exact Masses'!$Q$2-'Mass Ion Calculations'!$C$23-'Mass Ion Calculations'!$C11-'Mass Ion Calculations'!$D$5,'Mass Ion Calculations'!$F$18+'AA Exact Masses'!$Q$2-'Mass Ion Calculations'!$E$23-'Mass Ion Calculations'!$E11-'Mass Ion Calculations'!$D$5),IF('Mass Ion Calculations'!$D$7="Yes", 'Mass Ion Calculations'!$D$15+'AA Exact Masses'!$Q$2-'Mass Ion Calculations'!$C$23-'Mass Ion Calculations'!$C11-'Mass Ion Calculations'!$D$5,'Mass Ion Calculations'!$F$15+'AA Exact Masses'!$Q$2-'Mass Ion Calculations'!$E$23-'Mass Ion Calculations'!$E11-'Mass Ion Calculations'!$D$5)))</f>
        <v>#VALUE!</v>
      </c>
      <c r="V10" s="3" t="str">
        <f>IF(OR($B10="",V$3=""),"",IF('Mass Ion Calculations'!$D$6="Yes",IF('Mass Ion Calculations'!$D$7="Yes",'Mass Ion Calculations'!$D$18+'AA Exact Masses'!$Q$2-'Mass Ion Calculations'!$C$24-'Mass Ion Calculations'!$C11-'Mass Ion Calculations'!$D$5,'Mass Ion Calculations'!$F$18+'AA Exact Masses'!$Q$2-'Mass Ion Calculations'!$E$24-'Mass Ion Calculations'!$E11-'Mass Ion Calculations'!$D$5),IF('Mass Ion Calculations'!$D$7="Yes", 'Mass Ion Calculations'!$D$15+'AA Exact Masses'!$Q$2-'Mass Ion Calculations'!$C$24-'Mass Ion Calculations'!$C11-'Mass Ion Calculations'!$D$5,'Mass Ion Calculations'!$F$15+'AA Exact Masses'!$Q$2-'Mass Ion Calculations'!$E$24-'Mass Ion Calculations'!$E11-'Mass Ion Calculations'!$D$5)))</f>
        <v/>
      </c>
      <c r="W10" s="3" t="str">
        <f>IF(OR($B10="",W$3=""),"",IF('Mass Ion Calculations'!$D$6="Yes",IF('Mass Ion Calculations'!$D$7="Yes",'Mass Ion Calculations'!$D$18+'AA Exact Masses'!$Q$2-'Mass Ion Calculations'!$C$25-'Mass Ion Calculations'!$C11-'Mass Ion Calculations'!$D$5,'Mass Ion Calculations'!$F$18+'AA Exact Masses'!$Q$2-'Mass Ion Calculations'!$E$25-'Mass Ion Calculations'!$E11-'Mass Ion Calculations'!$D$5),IF('Mass Ion Calculations'!$D$7="Yes", 'Mass Ion Calculations'!$D$15+'AA Exact Masses'!$Q$2-'Mass Ion Calculations'!$C$25-'Mass Ion Calculations'!$C11-'Mass Ion Calculations'!$D$5,'Mass Ion Calculations'!$F$15+'AA Exact Masses'!$Q$2-'Mass Ion Calculations'!$E$25-'Mass Ion Calculations'!$E11-'Mass Ion Calculations'!$D$5)))</f>
        <v/>
      </c>
      <c r="X10" s="3" t="str">
        <f>IF(OR($B10="",X$3=""),"",IF('Mass Ion Calculations'!$D$6="Yes",IF('Mass Ion Calculations'!$D$7="Yes",'Mass Ion Calculations'!$D$18+'AA Exact Masses'!$Q$2-'Mass Ion Calculations'!$C$26-'Mass Ion Calculations'!$C11-'Mass Ion Calculations'!$D$5,'Mass Ion Calculations'!$F$18+'AA Exact Masses'!$Q$2-'Mass Ion Calculations'!$E$26-'Mass Ion Calculations'!$E11-'Mass Ion Calculations'!$D$5),IF('Mass Ion Calculations'!$D$7="Yes", 'Mass Ion Calculations'!$D$15+'AA Exact Masses'!$Q$2-'Mass Ion Calculations'!$C$26-'Mass Ion Calculations'!$C11-'Mass Ion Calculations'!$D$5,'Mass Ion Calculations'!$F$15+'AA Exact Masses'!$Q$2-'Mass Ion Calculations'!$E$26-'Mass Ion Calculations'!$E11-'Mass Ion Calculations'!$D$5)))</f>
        <v/>
      </c>
      <c r="Y10" s="3" t="str">
        <f>IF(OR($B10="",Y$3=""),"",IF('Mass Ion Calculations'!$D$6="Yes",IF('Mass Ion Calculations'!$D$7="Yes",'Mass Ion Calculations'!$D$18+'AA Exact Masses'!$Q$2-'Mass Ion Calculations'!$C$27-'Mass Ion Calculations'!$C11-'Mass Ion Calculations'!$D$5,'Mass Ion Calculations'!$F$18+'AA Exact Masses'!$Q$2-'Mass Ion Calculations'!$E$27-'Mass Ion Calculations'!$E11-'Mass Ion Calculations'!$D$5),IF('Mass Ion Calculations'!$D$7="Yes", 'Mass Ion Calculations'!$D$15+'AA Exact Masses'!$Q$2-'Mass Ion Calculations'!$C$27-'Mass Ion Calculations'!$C11-'Mass Ion Calculations'!$D$5,'Mass Ion Calculations'!$F$15+'AA Exact Masses'!$Q$2-'Mass Ion Calculations'!$E$27-'Mass Ion Calculations'!$E11-'Mass Ion Calculations'!$D$5)))</f>
        <v/>
      </c>
      <c r="Z10" s="3" t="str">
        <f>IF(OR($B10="",Z$3=""),"",IF('Mass Ion Calculations'!$D$6="Yes",IF('Mass Ion Calculations'!$D$7="Yes",'Mass Ion Calculations'!$D$18+'AA Exact Masses'!$Q$2-'Mass Ion Calculations'!$C$28-'Mass Ion Calculations'!$C11-'Mass Ion Calculations'!$D$5,'Mass Ion Calculations'!$F$18+'AA Exact Masses'!$Q$2-'Mass Ion Calculations'!$E$2-'Mass Ion Calculations'!$E11-'Mass Ion Calculations'!$D$5),IF('Mass Ion Calculations'!$D$7="Yes", 'Mass Ion Calculations'!$D$15+'AA Exact Masses'!$Q$2-'Mass Ion Calculations'!$C$28-'Mass Ion Calculations'!$C11-'Mass Ion Calculations'!$D$5,'Mass Ion Calculations'!$F$15+'AA Exact Masses'!$Q$2-'Mass Ion Calculations'!$E$2-'Mass Ion Calculations'!$E11-'Mass Ion Calculations'!$D$5)))</f>
        <v/>
      </c>
    </row>
    <row r="11" spans="2:26" x14ac:dyDescent="0.25">
      <c r="B11" s="4" t="str">
        <f>IF('Mass Ion Calculations'!B12="","",'Mass Ion Calculations'!B12)</f>
        <v>Val</v>
      </c>
      <c r="C11" s="3">
        <f>IF(OR($B11="",C$3=""),"",IF('Mass Ion Calculations'!$D$6="Yes",IF('Mass Ion Calculations'!$D$7="Yes",'Mass Ion Calculations'!$D$18+'AA Exact Masses'!$Q$2-'Mass Ion Calculations'!$C$5-'Mass Ion Calculations'!$C12-'Mass Ion Calculations'!$D$5,'Mass Ion Calculations'!$F$18+'AA Exact Masses'!$Q$2-'Mass Ion Calculations'!$E$5-'Mass Ion Calculations'!E12-'Mass Ion Calculations'!$D$5),IF('Mass Ion Calculations'!$D$7="Yes", 'Mass Ion Calculations'!$D$15+'AA Exact Masses'!$Q$2-'Mass Ion Calculations'!$C$5-'Mass Ion Calculations'!$C12-'Mass Ion Calculations'!$D$5,'Mass Ion Calculations'!$F$15+'AA Exact Masses'!$Q$2-'Mass Ion Calculations'!$E$5-'Mass Ion Calculations'!E12-'Mass Ion Calculations'!$D$5)))</f>
        <v>410.78543999999988</v>
      </c>
      <c r="D11" s="3">
        <f>IF(OR($B11="",D$3=""),"",IF('Mass Ion Calculations'!$D$6="Yes",IF('Mass Ion Calculations'!$D$7="Yes",'Mass Ion Calculations'!$D$18+'AA Exact Masses'!$Q$2-'Mass Ion Calculations'!$C$6-'Mass Ion Calculations'!$C12-'Mass Ion Calculations'!$D$5,'Mass Ion Calculations'!$F$18+'AA Exact Masses'!$Q$2-'Mass Ion Calculations'!$E$6-'Mass Ion Calculations'!E12-'Mass Ion Calculations'!$D$5),IF('Mass Ion Calculations'!$D$7="Yes", 'Mass Ion Calculations'!$D$15+'AA Exact Masses'!$Q$2-'Mass Ion Calculations'!$C$6-'Mass Ion Calculations'!$C12-'Mass Ion Calculations'!$D$5,'Mass Ion Calculations'!$F$15+'AA Exact Masses'!$Q$2-'Mass Ion Calculations'!$E$6-'Mass Ion Calculations'!E12-'Mass Ion Calculations'!$D$5)))</f>
        <v>453.82764999999995</v>
      </c>
      <c r="E11" s="3">
        <f>IF(OR($B11="",E$3=""),"",IF('Mass Ion Calculations'!$D$6="Yes",IF('Mass Ion Calculations'!$D$7="Yes",'Mass Ion Calculations'!$D$18+'AA Exact Masses'!$Q$2-'Mass Ion Calculations'!$C$7-'Mass Ion Calculations'!$C12-'Mass Ion Calculations'!$D$5,'Mass Ion Calculations'!$F$18+'AA Exact Masses'!$Q$2-'Mass Ion Calculations'!$E$7-'Mass Ion Calculations'!$E12-'Mass Ion Calculations'!$D$5),IF('Mass Ion Calculations'!$D$7="Yes", 'Mass Ion Calculations'!$D$15+'AA Exact Masses'!$Q$2-'Mass Ion Calculations'!$C$7-'Mass Ion Calculations'!$C12-'Mass Ion Calculations'!$D$5,'Mass Ion Calculations'!$F$15+'AA Exact Masses'!$Q$2-'Mass Ion Calculations'!$E$7-'Mass Ion Calculations'!$E12-'Mass Ion Calculations'!$D$5)))</f>
        <v>411.78070000000002</v>
      </c>
      <c r="F11" s="3">
        <f>IF(OR($B11="",F$3=""),"",IF('Mass Ion Calculations'!$D$6="Yes",IF('Mass Ion Calculations'!$D$7="Yes",'Mass Ion Calculations'!$D$18+'AA Exact Masses'!$Q$2-'Mass Ion Calculations'!$C$8-'Mass Ion Calculations'!$C12-'Mass Ion Calculations'!$D$5,'Mass Ion Calculations'!$F$18+'AA Exact Masses'!$Q$2-'Mass Ion Calculations'!$E$8-'Mass Ion Calculations'!$E12-'Mass Ion Calculations'!$D$5),IF('Mass Ion Calculations'!$D$7="Yes", 'Mass Ion Calculations'!$D$15+'AA Exact Masses'!$Q$2-'Mass Ion Calculations'!$C$8-'Mass Ion Calculations'!$C12-'Mass Ion Calculations'!$D$5,'Mass Ion Calculations'!$F$15+'AA Exact Masses'!$Q$2-'Mass Ion Calculations'!$E$8-'Mass Ion Calculations'!$E12-'Mass Ion Calculations'!$D$5)))</f>
        <v>411.78070000000002</v>
      </c>
      <c r="G11" s="3">
        <f>IF(OR($B11="",G$3=""),"",IF('Mass Ion Calculations'!$D$6="Yes",IF('Mass Ion Calculations'!$D$7="Yes",'Mass Ion Calculations'!$D$18+'AA Exact Masses'!$Q$2-'Mass Ion Calculations'!$C$9-'Mass Ion Calculations'!$C12-'Mass Ion Calculations'!$D$5,'Mass Ion Calculations'!$F$18+'AA Exact Masses'!$Q$2-'Mass Ion Calculations'!$E$9-'Mass Ion Calculations'!$E12-'Mass Ion Calculations'!$D$5),IF('Mass Ion Calculations'!$D$7="Yes", 'Mass Ion Calculations'!$D$15+'AA Exact Masses'!$Q$2-'Mass Ion Calculations'!$C$9-'Mass Ion Calculations'!$C12-'Mass Ion Calculations'!$D$5,'Mass Ion Calculations'!$F$15+'AA Exact Masses'!$Q$2-'Mass Ion Calculations'!$E$9-'Mass Ion Calculations'!$E12-'Mass Ion Calculations'!$D$5)))</f>
        <v>453.82764999999995</v>
      </c>
      <c r="H11" s="3">
        <f>IF(OR($B11="",H$3=""),"",IF('Mass Ion Calculations'!$D$6="Yes",IF('Mass Ion Calculations'!$D$7="Yes",'Mass Ion Calculations'!$D$18+'AA Exact Masses'!$Q$2-'Mass Ion Calculations'!$C$10-'Mass Ion Calculations'!$C12-'Mass Ion Calculations'!$D$5,'Mass Ion Calculations'!$F$18+'AA Exact Masses'!$Q$2-'Mass Ion Calculations'!$E$10-'Mass Ion Calculations'!$E12-'Mass Ion Calculations'!$D$5),IF('Mass Ion Calculations'!$D$7="Yes", 'Mass Ion Calculations'!$D$15+'AA Exact Masses'!$Q$2-'Mass Ion Calculations'!$C$10-'Mass Ion Calculations'!$C12-'Mass Ion Calculations'!$D$5,'Mass Ion Calculations'!$F$15+'AA Exact Masses'!$Q$2-'Mass Ion Calculations'!$E$10-'Mass Ion Calculations'!$E12-'Mass Ion Calculations'!$D$5)))</f>
        <v>411.78070000000002</v>
      </c>
      <c r="I11" s="3">
        <f>IF(OR($B11="",I$3=""),"",IF('Mass Ion Calculations'!$D$6="Yes",IF('Mass Ion Calculations'!$D$7="Yes",'Mass Ion Calculations'!$D$18+'AA Exact Masses'!$Q$2-'Mass Ion Calculations'!$C$11-'Mass Ion Calculations'!$C12-'Mass Ion Calculations'!$D$5,'Mass Ion Calculations'!$F$18+'AA Exact Masses'!$Q$2-'Mass Ion Calculations'!$E$11-'Mass Ion Calculations'!$E12-'Mass Ion Calculations'!$D$5),IF('Mass Ion Calculations'!$D$7="Yes", 'Mass Ion Calculations'!$D$15+'AA Exact Masses'!$Q$2-'Mass Ion Calculations'!$C$11-'Mass Ion Calculations'!$C12-'Mass Ion Calculations'!$D$5,'Mass Ion Calculations'!$F$15+'AA Exact Masses'!$Q$2-'Mass Ion Calculations'!$E$11-'Mass Ion Calculations'!$E12-'Mass Ion Calculations'!$D$5)))</f>
        <v>410.78543999999988</v>
      </c>
      <c r="J11" s="3">
        <f>IF(OR($B11="",J$3=""),"",IF('Mass Ion Calculations'!$D$6="Yes",IF('Mass Ion Calculations'!$D$7="Yes",'Mass Ion Calculations'!$D$18+'AA Exact Masses'!$Q$2-'Mass Ion Calculations'!$C$12-'Mass Ion Calculations'!$C12-'Mass Ion Calculations'!$D$5,'Mass Ion Calculations'!$F$18+'AA Exact Masses'!$Q$2-'Mass Ion Calculations'!$E$12-'Mass Ion Calculations'!$E12-'Mass Ion Calculations'!$D$5),IF('Mass Ion Calculations'!$D$7="Yes", 'Mass Ion Calculations'!$D$15+'AA Exact Masses'!$Q$2-'Mass Ion Calculations'!$C$12-'Mass Ion Calculations'!$C12-'Mass Ion Calculations'!$D$5,'Mass Ion Calculations'!$F$15+'AA Exact Masses'!$Q$2-'Mass Ion Calculations'!$E$12-'Mass Ion Calculations'!$E12-'Mass Ion Calculations'!$D$5)))</f>
        <v>425.79634999999985</v>
      </c>
      <c r="K11" s="3">
        <f>IF(OR($B11="",K$3=""),"",IF('Mass Ion Calculations'!$D$6="Yes",IF('Mass Ion Calculations'!$D$7="Yes",'Mass Ion Calculations'!$D$18+'AA Exact Masses'!$Q$2-'Mass Ion Calculations'!$C$13-'Mass Ion Calculations'!$C12-'Mass Ion Calculations'!$D$5,'Mass Ion Calculations'!$F$18+'AA Exact Masses'!$Q$2-'Mass Ion Calculations'!$E$14-'Mass Ion Calculations'!$E12-'Mass Ion Calculations'!$D$5),IF('Mass Ion Calculations'!$D$7="Yes", 'Mass Ion Calculations'!$D$15+'AA Exact Masses'!$Q$2-'Mass Ion Calculations'!$C$13-'Mass Ion Calculations'!$C12-'Mass Ion Calculations'!$D$5,'Mass Ion Calculations'!$F$15+'AA Exact Masses'!$Q$2-'Mass Ion Calculations'!$E$14-'Mass Ion Calculations'!$E12-'Mass Ion Calculations'!$D$5)))</f>
        <v>395.82216999999991</v>
      </c>
      <c r="L11" s="3">
        <f>IF(OR($B11="",L$3=""),"",IF('Mass Ion Calculations'!$D$6="Yes",IF('Mass Ion Calculations'!$D$7="Yes",'Mass Ion Calculations'!$D$18+'AA Exact Masses'!$Q$2-'Mass Ion Calculations'!$C$14-'Mass Ion Calculations'!$C12-'Mass Ion Calculations'!$D$5,'Mass Ion Calculations'!$F$18+'AA Exact Masses'!$Q$2-'Mass Ion Calculations'!$E$15-'Mass Ion Calculations'!$E12-'Mass Ion Calculations'!$D$5),IF('Mass Ion Calculations'!$D$7="Yes", 'Mass Ion Calculations'!$D$15+'AA Exact Masses'!$Q$2-'Mass Ion Calculations'!$C$14-'Mass Ion Calculations'!$C12-'Mass Ion Calculations'!$D$5,'Mass Ion Calculations'!$F$15+'AA Exact Masses'!$Q$2-'Mass Ion Calculations'!$E$15-'Mass Ion Calculations'!$E12-'Mass Ion Calculations'!$D$5)))</f>
        <v>409.83781999999997</v>
      </c>
      <c r="M11" s="3">
        <f>IF(OR($B11="",M$3=""),"",IF('Mass Ion Calculations'!$D$6="Yes",IF('Mass Ion Calculations'!$D$7="Yes",'Mass Ion Calculations'!$D$18+'AA Exact Masses'!$Q$2-'Mass Ion Calculations'!$C$15-'Mass Ion Calculations'!$C12-'Mass Ion Calculations'!$D$5,'Mass Ion Calculations'!$F$18+'AA Exact Masses'!$Q$2-'Mass Ion Calculations'!$E$16-'Mass Ion Calculations'!$E12-'Mass Ion Calculations'!$D$5),IF('Mass Ion Calculations'!$D$7="Yes", 'Mass Ion Calculations'!$D$15+'AA Exact Masses'!$Q$2-'Mass Ion Calculations'!$C$15-'Mass Ion Calculations'!$C12-'Mass Ion Calculations'!$D$5,'Mass Ion Calculations'!$F$15+'AA Exact Masses'!$Q$2-'Mass Ion Calculations'!$E$16-'Mass Ion Calculations'!$E12-'Mass Ion Calculations'!$D$5)))</f>
        <v>453.82764999999995</v>
      </c>
      <c r="N11" s="3">
        <f>IF(OR($B11="",N$3=""),"",IF('Mass Ion Calculations'!$D$6="Yes",IF('Mass Ion Calculations'!$D$7="Yes",'Mass Ion Calculations'!$D$18+'AA Exact Masses'!$Q$2-'Mass Ion Calculations'!$C$16-'Mass Ion Calculations'!$C12-'Mass Ion Calculations'!$D$5,'Mass Ion Calculations'!$F$18+'AA Exact Masses'!$Q$2-'Mass Ion Calculations'!$E$17-'Mass Ion Calculations'!$E12-'Mass Ion Calculations'!$D$5),IF('Mass Ion Calculations'!$D$7="Yes", 'Mass Ion Calculations'!$D$15+'AA Exact Masses'!$Q$2-'Mass Ion Calculations'!$C$16-'Mass Ion Calculations'!$C12-'Mass Ion Calculations'!$D$5,'Mass Ion Calculations'!$F$15+'AA Exact Masses'!$Q$2-'Mass Ion Calculations'!$E$17-'Mass Ion Calculations'!$E12-'Mass Ion Calculations'!$D$5)))</f>
        <v>377.79634999999985</v>
      </c>
      <c r="O11" s="3">
        <f>IF(OR($B11="",O$3=""),"",IF('Mass Ion Calculations'!$D$6="Yes",IF('Mass Ion Calculations'!$D$7="Yes",'Mass Ion Calculations'!$D$18+'AA Exact Masses'!$Q$2-'Mass Ion Calculations'!$C$17-'Mass Ion Calculations'!$C12-'Mass Ion Calculations'!$D$5,'Mass Ion Calculations'!$F$18+'AA Exact Masses'!$Q$2-'Mass Ion Calculations'!$E$18-'Mass Ion Calculations'!$E12-'Mass Ion Calculations'!$D$5),IF('Mass Ion Calculations'!$D$7="Yes", 'Mass Ion Calculations'!$D$15+'AA Exact Masses'!$Q$2-'Mass Ion Calculations'!$C$17-'Mass Ion Calculations'!$C12-'Mass Ion Calculations'!$D$5,'Mass Ion Calculations'!$F$15+'AA Exact Masses'!$Q$2-'Mass Ion Calculations'!$E$18-'Mass Ion Calculations'!$E12-'Mass Ion Calculations'!$D$5)))</f>
        <v>251.89969999999994</v>
      </c>
      <c r="P11" s="3">
        <f>IF(OR($B11="",P$3=""),"",IF('Mass Ion Calculations'!$D$6="Yes",IF('Mass Ion Calculations'!$D$7="Yes",'Mass Ion Calculations'!$D$18+'AA Exact Masses'!$Q$2-'Mass Ion Calculations'!$C$19-'Mass Ion Calculations'!$C12-'Mass Ion Calculations'!$D$5,'Mass Ion Calculations'!$F$18+'AA Exact Masses'!$Q$2-'Mass Ion Calculations'!$E$19-'Mass Ion Calculations'!$E12-'Mass Ion Calculations'!$D$5),IF('Mass Ion Calculations'!$D$7="Yes", 'Mass Ion Calculations'!$D$15+'AA Exact Masses'!$Q$2-'Mass Ion Calculations'!$C$19-'Mass Ion Calculations'!$C12-'Mass Ion Calculations'!$D$5,'Mass Ion Calculations'!$F$15+'AA Exact Masses'!$Q$2-'Mass Ion Calculations'!$E$19-'Mass Ion Calculations'!$E12-'Mass Ion Calculations'!$D$5)))</f>
        <v>425.79634999999985</v>
      </c>
      <c r="Q11" s="3">
        <f>IF(OR($B11="",Q$3=""),"",IF('Mass Ion Calculations'!$D$6="Yes",IF('Mass Ion Calculations'!$D$7="Yes",'Mass Ion Calculations'!$D$18+'AA Exact Masses'!$Q$2-'Mass Ion Calculations'!$C$20-'Mass Ion Calculations'!$C12-'Mass Ion Calculations'!$D$5,'Mass Ion Calculations'!$F$18+'AA Exact Masses'!$Q$2-'Mass Ion Calculations'!$E$20-'Mass Ion Calculations'!$E12-'Mass Ion Calculations'!$D$5),IF('Mass Ion Calculations'!$D$7="Yes", 'Mass Ion Calculations'!$D$15+'AA Exact Masses'!$Q$2-'Mass Ion Calculations'!$C$20-'Mass Ion Calculations'!$C12-'Mass Ion Calculations'!$D$5,'Mass Ion Calculations'!$F$15+'AA Exact Masses'!$Q$2-'Mass Ion Calculations'!$E$20-'Mass Ion Calculations'!$E12-'Mass Ion Calculations'!$D$5)))</f>
        <v>411.78070000000002</v>
      </c>
      <c r="R11" s="3" t="e">
        <f>IF(OR($B11="",R$3=""),"",IF('Mass Ion Calculations'!$D$6="Yes",IF('Mass Ion Calculations'!$D$7="Yes",'Mass Ion Calculations'!$D$18+'AA Exact Masses'!$Q$2-'Mass Ion Calculations'!$C$21-'Mass Ion Calculations'!$C12-'Mass Ion Calculations'!$D$5,'Mass Ion Calculations'!$F$18+'AA Exact Masses'!$Q$2-'Mass Ion Calculations'!$E$21-'Mass Ion Calculations'!$E12-'Mass Ion Calculations'!$D$5),IF('Mass Ion Calculations'!$D$7="Yes", 'Mass Ion Calculations'!$D$15+'AA Exact Masses'!$Q$2-'Mass Ion Calculations'!$C$21-'Mass Ion Calculations'!$C12-'Mass Ion Calculations'!$D$5,'Mass Ion Calculations'!$F$15+'AA Exact Masses'!$Q$2-'Mass Ion Calculations'!$E$21-'Mass Ion Calculations'!$E12-'Mass Ion Calculations'!$D$5)))</f>
        <v>#VALUE!</v>
      </c>
      <c r="S11" s="3" t="str">
        <f>IF(OR($B11="",S$3=""),"",IF('Mass Ion Calculations'!$D$6="Yes",IF('Mass Ion Calculations'!$D$7="Yes",'Mass Ion Calculations'!$D$18+'AA Exact Masses'!$Q$2-'Mass Ion Calculations'!$C$21-'Mass Ion Calculations'!$C12-'Mass Ion Calculations'!$D$5,'Mass Ion Calculations'!$F$18+'AA Exact Masses'!$Q$2-'Mass Ion Calculations'!$E$21-'Mass Ion Calculations'!$E12-'Mass Ion Calculations'!$D$5),IF('Mass Ion Calculations'!$D$7="Yes", 'Mass Ion Calculations'!$D$15+'AA Exact Masses'!$Q$2-'Mass Ion Calculations'!$C$21-'Mass Ion Calculations'!$C12-'Mass Ion Calculations'!$D$5,'Mass Ion Calculations'!$F$15+'AA Exact Masses'!$Q$2-'Mass Ion Calculations'!$E$21-'Mass Ion Calculations'!$E12-'Mass Ion Calculations'!$D$5)))</f>
        <v/>
      </c>
      <c r="T11" s="3" t="e">
        <f>IF(OR($B11="",T$3=""),"",IF('Mass Ion Calculations'!$D$6="Yes",IF('Mass Ion Calculations'!$D$7="Yes",'Mass Ion Calculations'!$D$18+'AA Exact Masses'!$Q$2-'Mass Ion Calculations'!$C$22-'Mass Ion Calculations'!$C12-'Mass Ion Calculations'!$D$5,'Mass Ion Calculations'!$F$18+'AA Exact Masses'!$Q$2-'Mass Ion Calculations'!$E$22-'Mass Ion Calculations'!$E12-'Mass Ion Calculations'!$D$5),IF('Mass Ion Calculations'!$D$7="Yes", 'Mass Ion Calculations'!$D$15+'AA Exact Masses'!$Q$2-'Mass Ion Calculations'!$C$22-'Mass Ion Calculations'!$C12-'Mass Ion Calculations'!$D$5,'Mass Ion Calculations'!$F$15+'AA Exact Masses'!$Q$2-'Mass Ion Calculations'!$E$22-'Mass Ion Calculations'!$E12-'Mass Ion Calculations'!$D$5)))</f>
        <v>#VALUE!</v>
      </c>
      <c r="U11" s="3" t="e">
        <f>IF(OR($B11="",U$3=""),"",IF('Mass Ion Calculations'!$D$6="Yes",IF('Mass Ion Calculations'!$D$7="Yes",'Mass Ion Calculations'!$D$18+'AA Exact Masses'!$Q$2-'Mass Ion Calculations'!$C$23-'Mass Ion Calculations'!$C12-'Mass Ion Calculations'!$D$5,'Mass Ion Calculations'!$F$18+'AA Exact Masses'!$Q$2-'Mass Ion Calculations'!$E$23-'Mass Ion Calculations'!$E12-'Mass Ion Calculations'!$D$5),IF('Mass Ion Calculations'!$D$7="Yes", 'Mass Ion Calculations'!$D$15+'AA Exact Masses'!$Q$2-'Mass Ion Calculations'!$C$23-'Mass Ion Calculations'!$C12-'Mass Ion Calculations'!$D$5,'Mass Ion Calculations'!$F$15+'AA Exact Masses'!$Q$2-'Mass Ion Calculations'!$E$23-'Mass Ion Calculations'!$E12-'Mass Ion Calculations'!$D$5)))</f>
        <v>#VALUE!</v>
      </c>
      <c r="V11" s="3" t="str">
        <f>IF(OR($B11="",V$3=""),"",IF('Mass Ion Calculations'!$D$6="Yes",IF('Mass Ion Calculations'!$D$7="Yes",'Mass Ion Calculations'!$D$18+'AA Exact Masses'!$Q$2-'Mass Ion Calculations'!$C$24-'Mass Ion Calculations'!$C12-'Mass Ion Calculations'!$D$5,'Mass Ion Calculations'!$F$18+'AA Exact Masses'!$Q$2-'Mass Ion Calculations'!$E$24-'Mass Ion Calculations'!$E12-'Mass Ion Calculations'!$D$5),IF('Mass Ion Calculations'!$D$7="Yes", 'Mass Ion Calculations'!$D$15+'AA Exact Masses'!$Q$2-'Mass Ion Calculations'!$C$24-'Mass Ion Calculations'!$C12-'Mass Ion Calculations'!$D$5,'Mass Ion Calculations'!$F$15+'AA Exact Masses'!$Q$2-'Mass Ion Calculations'!$E$24-'Mass Ion Calculations'!$E12-'Mass Ion Calculations'!$D$5)))</f>
        <v/>
      </c>
      <c r="W11" s="3" t="str">
        <f>IF(OR($B11="",W$3=""),"",IF('Mass Ion Calculations'!$D$6="Yes",IF('Mass Ion Calculations'!$D$7="Yes",'Mass Ion Calculations'!$D$18+'AA Exact Masses'!$Q$2-'Mass Ion Calculations'!$C$25-'Mass Ion Calculations'!$C12-'Mass Ion Calculations'!$D$5,'Mass Ion Calculations'!$F$18+'AA Exact Masses'!$Q$2-'Mass Ion Calculations'!$E$25-'Mass Ion Calculations'!$E12-'Mass Ion Calculations'!$D$5),IF('Mass Ion Calculations'!$D$7="Yes", 'Mass Ion Calculations'!$D$15+'AA Exact Masses'!$Q$2-'Mass Ion Calculations'!$C$25-'Mass Ion Calculations'!$C12-'Mass Ion Calculations'!$D$5,'Mass Ion Calculations'!$F$15+'AA Exact Masses'!$Q$2-'Mass Ion Calculations'!$E$25-'Mass Ion Calculations'!$E12-'Mass Ion Calculations'!$D$5)))</f>
        <v/>
      </c>
      <c r="X11" s="3" t="str">
        <f>IF(OR($B11="",X$3=""),"",IF('Mass Ion Calculations'!$D$6="Yes",IF('Mass Ion Calculations'!$D$7="Yes",'Mass Ion Calculations'!$D$18+'AA Exact Masses'!$Q$2-'Mass Ion Calculations'!$C$26-'Mass Ion Calculations'!$C12-'Mass Ion Calculations'!$D$5,'Mass Ion Calculations'!$F$18+'AA Exact Masses'!$Q$2-'Mass Ion Calculations'!$E$26-'Mass Ion Calculations'!$E12-'Mass Ion Calculations'!$D$5),IF('Mass Ion Calculations'!$D$7="Yes", 'Mass Ion Calculations'!$D$15+'AA Exact Masses'!$Q$2-'Mass Ion Calculations'!$C$26-'Mass Ion Calculations'!$C12-'Mass Ion Calculations'!$D$5,'Mass Ion Calculations'!$F$15+'AA Exact Masses'!$Q$2-'Mass Ion Calculations'!$E$26-'Mass Ion Calculations'!$E12-'Mass Ion Calculations'!$D$5)))</f>
        <v/>
      </c>
      <c r="Y11" s="3" t="str">
        <f>IF(OR($B11="",Y$3=""),"",IF('Mass Ion Calculations'!$D$6="Yes",IF('Mass Ion Calculations'!$D$7="Yes",'Mass Ion Calculations'!$D$18+'AA Exact Masses'!$Q$2-'Mass Ion Calculations'!$C$27-'Mass Ion Calculations'!$C12-'Mass Ion Calculations'!$D$5,'Mass Ion Calculations'!$F$18+'AA Exact Masses'!$Q$2-'Mass Ion Calculations'!$E$27-'Mass Ion Calculations'!$E12-'Mass Ion Calculations'!$D$5),IF('Mass Ion Calculations'!$D$7="Yes", 'Mass Ion Calculations'!$D$15+'AA Exact Masses'!$Q$2-'Mass Ion Calculations'!$C$27-'Mass Ion Calculations'!$C12-'Mass Ion Calculations'!$D$5,'Mass Ion Calculations'!$F$15+'AA Exact Masses'!$Q$2-'Mass Ion Calculations'!$E$27-'Mass Ion Calculations'!$E12-'Mass Ion Calculations'!$D$5)))</f>
        <v/>
      </c>
      <c r="Z11" s="3" t="str">
        <f>IF(OR($B11="",Z$3=""),"",IF('Mass Ion Calculations'!$D$6="Yes",IF('Mass Ion Calculations'!$D$7="Yes",'Mass Ion Calculations'!$D$18+'AA Exact Masses'!$Q$2-'Mass Ion Calculations'!$C$28-'Mass Ion Calculations'!$C12-'Mass Ion Calculations'!$D$5,'Mass Ion Calculations'!$F$18+'AA Exact Masses'!$Q$2-'Mass Ion Calculations'!$E$2-'Mass Ion Calculations'!$E12-'Mass Ion Calculations'!$D$5),IF('Mass Ion Calculations'!$D$7="Yes", 'Mass Ion Calculations'!$D$15+'AA Exact Masses'!$Q$2-'Mass Ion Calculations'!$C$28-'Mass Ion Calculations'!$C12-'Mass Ion Calculations'!$D$5,'Mass Ion Calculations'!$F$15+'AA Exact Masses'!$Q$2-'Mass Ion Calculations'!$E$2-'Mass Ion Calculations'!$E12-'Mass Ion Calculations'!$D$5)))</f>
        <v/>
      </c>
    </row>
    <row r="12" spans="2:26" x14ac:dyDescent="0.25">
      <c r="B12" s="4" t="str">
        <f>IF('Mass Ion Calculations'!B13="","",'Mass Ion Calculations'!B13)</f>
        <v>Orn(Boc)</v>
      </c>
      <c r="C12" s="3">
        <f>IF(OR($B12="",C$3=""),"",IF('Mass Ion Calculations'!$D$6="Yes",IF('Mass Ion Calculations'!$D$7="Yes",'Mass Ion Calculations'!$D$18+'AA Exact Masses'!$Q$2-'Mass Ion Calculations'!$C$5-'Mass Ion Calculations'!$C13-'Mass Ion Calculations'!$D$5,'Mass Ion Calculations'!$F$18+'AA Exact Masses'!$Q$2-'Mass Ion Calculations'!$E$5-'Mass Ion Calculations'!E13-'Mass Ion Calculations'!$D$5),IF('Mass Ion Calculations'!$D$7="Yes", 'Mass Ion Calculations'!$D$15+'AA Exact Masses'!$Q$2-'Mass Ion Calculations'!$C$5-'Mass Ion Calculations'!$C13-'Mass Ion Calculations'!$D$5,'Mass Ion Calculations'!$F$15+'AA Exact Masses'!$Q$2-'Mass Ion Calculations'!$E$5-'Mass Ion Calculations'!E13-'Mass Ion Calculations'!$D$5)))</f>
        <v>395.77452999999991</v>
      </c>
      <c r="D12" s="3">
        <f>IF(OR($B12="",D$3=""),"",IF('Mass Ion Calculations'!$D$6="Yes",IF('Mass Ion Calculations'!$D$7="Yes",'Mass Ion Calculations'!$D$18+'AA Exact Masses'!$Q$2-'Mass Ion Calculations'!$C$6-'Mass Ion Calculations'!$C13-'Mass Ion Calculations'!$D$5,'Mass Ion Calculations'!$F$18+'AA Exact Masses'!$Q$2-'Mass Ion Calculations'!$E$6-'Mass Ion Calculations'!E13-'Mass Ion Calculations'!$D$5),IF('Mass Ion Calculations'!$D$7="Yes", 'Mass Ion Calculations'!$D$15+'AA Exact Masses'!$Q$2-'Mass Ion Calculations'!$C$6-'Mass Ion Calculations'!$C13-'Mass Ion Calculations'!$D$5,'Mass Ion Calculations'!$F$15+'AA Exact Masses'!$Q$2-'Mass Ion Calculations'!$E$6-'Mass Ion Calculations'!E13-'Mass Ion Calculations'!$D$5)))</f>
        <v>438.81673999999998</v>
      </c>
      <c r="E12" s="3">
        <f>IF(OR($B12="",E$3=""),"",IF('Mass Ion Calculations'!$D$6="Yes",IF('Mass Ion Calculations'!$D$7="Yes",'Mass Ion Calculations'!$D$18+'AA Exact Masses'!$Q$2-'Mass Ion Calculations'!$C$7-'Mass Ion Calculations'!$C13-'Mass Ion Calculations'!$D$5,'Mass Ion Calculations'!$F$18+'AA Exact Masses'!$Q$2-'Mass Ion Calculations'!$E$7-'Mass Ion Calculations'!$E13-'Mass Ion Calculations'!$D$5),IF('Mass Ion Calculations'!$D$7="Yes", 'Mass Ion Calculations'!$D$15+'AA Exact Masses'!$Q$2-'Mass Ion Calculations'!$C$7-'Mass Ion Calculations'!$C13-'Mass Ion Calculations'!$D$5,'Mass Ion Calculations'!$F$15+'AA Exact Masses'!$Q$2-'Mass Ion Calculations'!$E$7-'Mass Ion Calculations'!$E13-'Mass Ion Calculations'!$D$5)))</f>
        <v>396.76979000000006</v>
      </c>
      <c r="F12" s="3">
        <f>IF(OR($B12="",F$3=""),"",IF('Mass Ion Calculations'!$D$6="Yes",IF('Mass Ion Calculations'!$D$7="Yes",'Mass Ion Calculations'!$D$18+'AA Exact Masses'!$Q$2-'Mass Ion Calculations'!$C$8-'Mass Ion Calculations'!$C13-'Mass Ion Calculations'!$D$5,'Mass Ion Calculations'!$F$18+'AA Exact Masses'!$Q$2-'Mass Ion Calculations'!$E$8-'Mass Ion Calculations'!$E13-'Mass Ion Calculations'!$D$5),IF('Mass Ion Calculations'!$D$7="Yes", 'Mass Ion Calculations'!$D$15+'AA Exact Masses'!$Q$2-'Mass Ion Calculations'!$C$8-'Mass Ion Calculations'!$C13-'Mass Ion Calculations'!$D$5,'Mass Ion Calculations'!$F$15+'AA Exact Masses'!$Q$2-'Mass Ion Calculations'!$E$8-'Mass Ion Calculations'!$E13-'Mass Ion Calculations'!$D$5)))</f>
        <v>396.76979000000006</v>
      </c>
      <c r="G12" s="3">
        <f>IF(OR($B12="",G$3=""),"",IF('Mass Ion Calculations'!$D$6="Yes",IF('Mass Ion Calculations'!$D$7="Yes",'Mass Ion Calculations'!$D$18+'AA Exact Masses'!$Q$2-'Mass Ion Calculations'!$C$9-'Mass Ion Calculations'!$C13-'Mass Ion Calculations'!$D$5,'Mass Ion Calculations'!$F$18+'AA Exact Masses'!$Q$2-'Mass Ion Calculations'!$E$9-'Mass Ion Calculations'!$E13-'Mass Ion Calculations'!$D$5),IF('Mass Ion Calculations'!$D$7="Yes", 'Mass Ion Calculations'!$D$15+'AA Exact Masses'!$Q$2-'Mass Ion Calculations'!$C$9-'Mass Ion Calculations'!$C13-'Mass Ion Calculations'!$D$5,'Mass Ion Calculations'!$F$15+'AA Exact Masses'!$Q$2-'Mass Ion Calculations'!$E$9-'Mass Ion Calculations'!$E13-'Mass Ion Calculations'!$D$5)))</f>
        <v>438.81673999999998</v>
      </c>
      <c r="H12" s="3">
        <f>IF(OR($B12="",H$3=""),"",IF('Mass Ion Calculations'!$D$6="Yes",IF('Mass Ion Calculations'!$D$7="Yes",'Mass Ion Calculations'!$D$18+'AA Exact Masses'!$Q$2-'Mass Ion Calculations'!$C$10-'Mass Ion Calculations'!$C13-'Mass Ion Calculations'!$D$5,'Mass Ion Calculations'!$F$18+'AA Exact Masses'!$Q$2-'Mass Ion Calculations'!$E$10-'Mass Ion Calculations'!$E13-'Mass Ion Calculations'!$D$5),IF('Mass Ion Calculations'!$D$7="Yes", 'Mass Ion Calculations'!$D$15+'AA Exact Masses'!$Q$2-'Mass Ion Calculations'!$C$10-'Mass Ion Calculations'!$C13-'Mass Ion Calculations'!$D$5,'Mass Ion Calculations'!$F$15+'AA Exact Masses'!$Q$2-'Mass Ion Calculations'!$E$10-'Mass Ion Calculations'!$E13-'Mass Ion Calculations'!$D$5)))</f>
        <v>396.76979000000006</v>
      </c>
      <c r="I12" s="3">
        <f>IF(OR($B12="",I$3=""),"",IF('Mass Ion Calculations'!$D$6="Yes",IF('Mass Ion Calculations'!$D$7="Yes",'Mass Ion Calculations'!$D$18+'AA Exact Masses'!$Q$2-'Mass Ion Calculations'!$C$11-'Mass Ion Calculations'!$C13-'Mass Ion Calculations'!$D$5,'Mass Ion Calculations'!$F$18+'AA Exact Masses'!$Q$2-'Mass Ion Calculations'!$E$11-'Mass Ion Calculations'!$E13-'Mass Ion Calculations'!$D$5),IF('Mass Ion Calculations'!$D$7="Yes", 'Mass Ion Calculations'!$D$15+'AA Exact Masses'!$Q$2-'Mass Ion Calculations'!$C$11-'Mass Ion Calculations'!$C13-'Mass Ion Calculations'!$D$5,'Mass Ion Calculations'!$F$15+'AA Exact Masses'!$Q$2-'Mass Ion Calculations'!$E$11-'Mass Ion Calculations'!$E13-'Mass Ion Calculations'!$D$5)))</f>
        <v>395.77452999999991</v>
      </c>
      <c r="J12" s="3">
        <f>IF(OR($B12="",J$3=""),"",IF('Mass Ion Calculations'!$D$6="Yes",IF('Mass Ion Calculations'!$D$7="Yes",'Mass Ion Calculations'!$D$18+'AA Exact Masses'!$Q$2-'Mass Ion Calculations'!$C$12-'Mass Ion Calculations'!$C13-'Mass Ion Calculations'!$D$5,'Mass Ion Calculations'!$F$18+'AA Exact Masses'!$Q$2-'Mass Ion Calculations'!$E$12-'Mass Ion Calculations'!$E13-'Mass Ion Calculations'!$D$5),IF('Mass Ion Calculations'!$D$7="Yes", 'Mass Ion Calculations'!$D$15+'AA Exact Masses'!$Q$2-'Mass Ion Calculations'!$C$12-'Mass Ion Calculations'!$C13-'Mass Ion Calculations'!$D$5,'Mass Ion Calculations'!$F$15+'AA Exact Masses'!$Q$2-'Mass Ion Calculations'!$E$12-'Mass Ion Calculations'!$E13-'Mass Ion Calculations'!$D$5)))</f>
        <v>410.78543999999988</v>
      </c>
      <c r="K12" s="3">
        <f>IF(OR($B12="",K$3=""),"",IF('Mass Ion Calculations'!$D$6="Yes",IF('Mass Ion Calculations'!$D$7="Yes",'Mass Ion Calculations'!$D$18+'AA Exact Masses'!$Q$2-'Mass Ion Calculations'!$C$13-'Mass Ion Calculations'!$C13-'Mass Ion Calculations'!$D$5,'Mass Ion Calculations'!$F$18+'AA Exact Masses'!$Q$2-'Mass Ion Calculations'!$E$14-'Mass Ion Calculations'!$E13-'Mass Ion Calculations'!$D$5),IF('Mass Ion Calculations'!$D$7="Yes", 'Mass Ion Calculations'!$D$15+'AA Exact Masses'!$Q$2-'Mass Ion Calculations'!$C$13-'Mass Ion Calculations'!$C13-'Mass Ion Calculations'!$D$5,'Mass Ion Calculations'!$F$15+'AA Exact Masses'!$Q$2-'Mass Ion Calculations'!$E$14-'Mass Ion Calculations'!$E13-'Mass Ion Calculations'!$D$5)))</f>
        <v>380.81125999999995</v>
      </c>
      <c r="L12" s="3">
        <f>IF(OR($B12="",L$3=""),"",IF('Mass Ion Calculations'!$D$6="Yes",IF('Mass Ion Calculations'!$D$7="Yes",'Mass Ion Calculations'!$D$18+'AA Exact Masses'!$Q$2-'Mass Ion Calculations'!$C$14-'Mass Ion Calculations'!$C13-'Mass Ion Calculations'!$D$5,'Mass Ion Calculations'!$F$18+'AA Exact Masses'!$Q$2-'Mass Ion Calculations'!$E$15-'Mass Ion Calculations'!$E13-'Mass Ion Calculations'!$D$5),IF('Mass Ion Calculations'!$D$7="Yes", 'Mass Ion Calculations'!$D$15+'AA Exact Masses'!$Q$2-'Mass Ion Calculations'!$C$14-'Mass Ion Calculations'!$C13-'Mass Ion Calculations'!$D$5,'Mass Ion Calculations'!$F$15+'AA Exact Masses'!$Q$2-'Mass Ion Calculations'!$E$15-'Mass Ion Calculations'!$E13-'Mass Ion Calculations'!$D$5)))</f>
        <v>394.82691</v>
      </c>
      <c r="M12" s="3">
        <f>IF(OR($B12="",M$3=""),"",IF('Mass Ion Calculations'!$D$6="Yes",IF('Mass Ion Calculations'!$D$7="Yes",'Mass Ion Calculations'!$D$18+'AA Exact Masses'!$Q$2-'Mass Ion Calculations'!$C$15-'Mass Ion Calculations'!$C13-'Mass Ion Calculations'!$D$5,'Mass Ion Calculations'!$F$18+'AA Exact Masses'!$Q$2-'Mass Ion Calculations'!$E$16-'Mass Ion Calculations'!$E13-'Mass Ion Calculations'!$D$5),IF('Mass Ion Calculations'!$D$7="Yes", 'Mass Ion Calculations'!$D$15+'AA Exact Masses'!$Q$2-'Mass Ion Calculations'!$C$15-'Mass Ion Calculations'!$C13-'Mass Ion Calculations'!$D$5,'Mass Ion Calculations'!$F$15+'AA Exact Masses'!$Q$2-'Mass Ion Calculations'!$E$16-'Mass Ion Calculations'!$E13-'Mass Ion Calculations'!$D$5)))</f>
        <v>438.81673999999998</v>
      </c>
      <c r="N12" s="3">
        <f>IF(OR($B12="",N$3=""),"",IF('Mass Ion Calculations'!$D$6="Yes",IF('Mass Ion Calculations'!$D$7="Yes",'Mass Ion Calculations'!$D$18+'AA Exact Masses'!$Q$2-'Mass Ion Calculations'!$C$16-'Mass Ion Calculations'!$C13-'Mass Ion Calculations'!$D$5,'Mass Ion Calculations'!$F$18+'AA Exact Masses'!$Q$2-'Mass Ion Calculations'!$E$17-'Mass Ion Calculations'!$E13-'Mass Ion Calculations'!$D$5),IF('Mass Ion Calculations'!$D$7="Yes", 'Mass Ion Calculations'!$D$15+'AA Exact Masses'!$Q$2-'Mass Ion Calculations'!$C$16-'Mass Ion Calculations'!$C13-'Mass Ion Calculations'!$D$5,'Mass Ion Calculations'!$F$15+'AA Exact Masses'!$Q$2-'Mass Ion Calculations'!$E$17-'Mass Ion Calculations'!$E13-'Mass Ion Calculations'!$D$5)))</f>
        <v>362.78543999999988</v>
      </c>
      <c r="O12" s="3">
        <f>IF(OR($B12="",O$3=""),"",IF('Mass Ion Calculations'!$D$6="Yes",IF('Mass Ion Calculations'!$D$7="Yes",'Mass Ion Calculations'!$D$18+'AA Exact Masses'!$Q$2-'Mass Ion Calculations'!$C$17-'Mass Ion Calculations'!$C13-'Mass Ion Calculations'!$D$5,'Mass Ion Calculations'!$F$18+'AA Exact Masses'!$Q$2-'Mass Ion Calculations'!$E$18-'Mass Ion Calculations'!$E13-'Mass Ion Calculations'!$D$5),IF('Mass Ion Calculations'!$D$7="Yes", 'Mass Ion Calculations'!$D$15+'AA Exact Masses'!$Q$2-'Mass Ion Calculations'!$C$17-'Mass Ion Calculations'!$C13-'Mass Ion Calculations'!$D$5,'Mass Ion Calculations'!$F$15+'AA Exact Masses'!$Q$2-'Mass Ion Calculations'!$E$18-'Mass Ion Calculations'!$E13-'Mass Ion Calculations'!$D$5)))</f>
        <v>236.88878999999997</v>
      </c>
      <c r="P12" s="3">
        <f>IF(OR($B12="",P$3=""),"",IF('Mass Ion Calculations'!$D$6="Yes",IF('Mass Ion Calculations'!$D$7="Yes",'Mass Ion Calculations'!$D$18+'AA Exact Masses'!$Q$2-'Mass Ion Calculations'!$C$19-'Mass Ion Calculations'!$C13-'Mass Ion Calculations'!$D$5,'Mass Ion Calculations'!$F$18+'AA Exact Masses'!$Q$2-'Mass Ion Calculations'!$E$19-'Mass Ion Calculations'!$E13-'Mass Ion Calculations'!$D$5),IF('Mass Ion Calculations'!$D$7="Yes", 'Mass Ion Calculations'!$D$15+'AA Exact Masses'!$Q$2-'Mass Ion Calculations'!$C$19-'Mass Ion Calculations'!$C13-'Mass Ion Calculations'!$D$5,'Mass Ion Calculations'!$F$15+'AA Exact Masses'!$Q$2-'Mass Ion Calculations'!$E$19-'Mass Ion Calculations'!$E13-'Mass Ion Calculations'!$D$5)))</f>
        <v>410.78543999999988</v>
      </c>
      <c r="Q12" s="3">
        <f>IF(OR($B12="",Q$3=""),"",IF('Mass Ion Calculations'!$D$6="Yes",IF('Mass Ion Calculations'!$D$7="Yes",'Mass Ion Calculations'!$D$18+'AA Exact Masses'!$Q$2-'Mass Ion Calculations'!$C$20-'Mass Ion Calculations'!$C13-'Mass Ion Calculations'!$D$5,'Mass Ion Calculations'!$F$18+'AA Exact Masses'!$Q$2-'Mass Ion Calculations'!$E$20-'Mass Ion Calculations'!$E13-'Mass Ion Calculations'!$D$5),IF('Mass Ion Calculations'!$D$7="Yes", 'Mass Ion Calculations'!$D$15+'AA Exact Masses'!$Q$2-'Mass Ion Calculations'!$C$20-'Mass Ion Calculations'!$C13-'Mass Ion Calculations'!$D$5,'Mass Ion Calculations'!$F$15+'AA Exact Masses'!$Q$2-'Mass Ion Calculations'!$E$20-'Mass Ion Calculations'!$E13-'Mass Ion Calculations'!$D$5)))</f>
        <v>396.76979000000006</v>
      </c>
      <c r="R12" s="3" t="e">
        <f>IF(OR($B12="",R$3=""),"",IF('Mass Ion Calculations'!$D$6="Yes",IF('Mass Ion Calculations'!$D$7="Yes",'Mass Ion Calculations'!$D$18+'AA Exact Masses'!$Q$2-'Mass Ion Calculations'!$C$21-'Mass Ion Calculations'!$C13-'Mass Ion Calculations'!$D$5,'Mass Ion Calculations'!$F$18+'AA Exact Masses'!$Q$2-'Mass Ion Calculations'!$E$21-'Mass Ion Calculations'!$E13-'Mass Ion Calculations'!$D$5),IF('Mass Ion Calculations'!$D$7="Yes", 'Mass Ion Calculations'!$D$15+'AA Exact Masses'!$Q$2-'Mass Ion Calculations'!$C$21-'Mass Ion Calculations'!$C13-'Mass Ion Calculations'!$D$5,'Mass Ion Calculations'!$F$15+'AA Exact Masses'!$Q$2-'Mass Ion Calculations'!$E$21-'Mass Ion Calculations'!$E13-'Mass Ion Calculations'!$D$5)))</f>
        <v>#VALUE!</v>
      </c>
      <c r="S12" s="3" t="str">
        <f>IF(OR($B12="",S$3=""),"",IF('Mass Ion Calculations'!$D$6="Yes",IF('Mass Ion Calculations'!$D$7="Yes",'Mass Ion Calculations'!$D$18+'AA Exact Masses'!$Q$2-'Mass Ion Calculations'!$C$21-'Mass Ion Calculations'!$C13-'Mass Ion Calculations'!$D$5,'Mass Ion Calculations'!$F$18+'AA Exact Masses'!$Q$2-'Mass Ion Calculations'!$E$21-'Mass Ion Calculations'!$E14-'Mass Ion Calculations'!$D$5),IF('Mass Ion Calculations'!$D$7="Yes", 'Mass Ion Calculations'!$D$15+'AA Exact Masses'!$Q$2-'Mass Ion Calculations'!$C$21-'Mass Ion Calculations'!$C13-'Mass Ion Calculations'!$D$5,'Mass Ion Calculations'!$F$15+'AA Exact Masses'!$Q$2-'Mass Ion Calculations'!$E$21-'Mass Ion Calculations'!$E14-'Mass Ion Calculations'!$D$5)))</f>
        <v/>
      </c>
      <c r="T12" s="3" t="e">
        <f>IF(OR($B12="",T$3=""),"",IF('Mass Ion Calculations'!$D$6="Yes",IF('Mass Ion Calculations'!$D$7="Yes",'Mass Ion Calculations'!$D$18+'AA Exact Masses'!$Q$2-'Mass Ion Calculations'!$C$22-'Mass Ion Calculations'!$C13-'Mass Ion Calculations'!$D$5,'Mass Ion Calculations'!$F$18+'AA Exact Masses'!$Q$2-'Mass Ion Calculations'!$E$22-'Mass Ion Calculations'!$E14-'Mass Ion Calculations'!$D$5),IF('Mass Ion Calculations'!$D$7="Yes", 'Mass Ion Calculations'!$D$15+'AA Exact Masses'!$Q$2-'Mass Ion Calculations'!$C$22-'Mass Ion Calculations'!$C13-'Mass Ion Calculations'!$D$5,'Mass Ion Calculations'!$F$15+'AA Exact Masses'!$Q$2-'Mass Ion Calculations'!$E$22-'Mass Ion Calculations'!$E14-'Mass Ion Calculations'!$D$5)))</f>
        <v>#VALUE!</v>
      </c>
      <c r="U12" s="3" t="e">
        <f>IF(OR($B12="",U$3=""),"",IF('Mass Ion Calculations'!$D$6="Yes",IF('Mass Ion Calculations'!$D$7="Yes",'Mass Ion Calculations'!$D$18+'AA Exact Masses'!$Q$2-'Mass Ion Calculations'!$C$23-'Mass Ion Calculations'!$C13-'Mass Ion Calculations'!$D$5,'Mass Ion Calculations'!$F$18+'AA Exact Masses'!$Q$2-'Mass Ion Calculations'!$E$23-'Mass Ion Calculations'!$E14-'Mass Ion Calculations'!$D$5),IF('Mass Ion Calculations'!$D$7="Yes", 'Mass Ion Calculations'!$D$15+'AA Exact Masses'!$Q$2-'Mass Ion Calculations'!$C$23-'Mass Ion Calculations'!$C13-'Mass Ion Calculations'!$D$5,'Mass Ion Calculations'!$F$15+'AA Exact Masses'!$Q$2-'Mass Ion Calculations'!$E$23-'Mass Ion Calculations'!$E14-'Mass Ion Calculations'!$D$5)))</f>
        <v>#VALUE!</v>
      </c>
      <c r="V12" s="3" t="str">
        <f>IF(OR($B12="",V$3=""),"",IF('Mass Ion Calculations'!$D$6="Yes",IF('Mass Ion Calculations'!$D$7="Yes",'Mass Ion Calculations'!$D$18+'AA Exact Masses'!$Q$2-'Mass Ion Calculations'!$C$24-'Mass Ion Calculations'!$C13-'Mass Ion Calculations'!$D$5,'Mass Ion Calculations'!$F$18+'AA Exact Masses'!$Q$2-'Mass Ion Calculations'!$E$24-'Mass Ion Calculations'!$E14-'Mass Ion Calculations'!$D$5),IF('Mass Ion Calculations'!$D$7="Yes", 'Mass Ion Calculations'!$D$15+'AA Exact Masses'!$Q$2-'Mass Ion Calculations'!$C$24-'Mass Ion Calculations'!$C13-'Mass Ion Calculations'!$D$5,'Mass Ion Calculations'!$F$15+'AA Exact Masses'!$Q$2-'Mass Ion Calculations'!$E$24-'Mass Ion Calculations'!$E14-'Mass Ion Calculations'!$D$5)))</f>
        <v/>
      </c>
      <c r="W12" s="3" t="str">
        <f>IF(OR($B12="",W$3=""),"",IF('Mass Ion Calculations'!$D$6="Yes",IF('Mass Ion Calculations'!$D$7="Yes",'Mass Ion Calculations'!$D$18+'AA Exact Masses'!$Q$2-'Mass Ion Calculations'!$C$25-'Mass Ion Calculations'!$C13-'Mass Ion Calculations'!$D$5,'Mass Ion Calculations'!$F$18+'AA Exact Masses'!$Q$2-'Mass Ion Calculations'!$E$25-'Mass Ion Calculations'!$E14-'Mass Ion Calculations'!$D$5),IF('Mass Ion Calculations'!$D$7="Yes", 'Mass Ion Calculations'!$D$15+'AA Exact Masses'!$Q$2-'Mass Ion Calculations'!$C$25-'Mass Ion Calculations'!$C13-'Mass Ion Calculations'!$D$5,'Mass Ion Calculations'!$F$15+'AA Exact Masses'!$Q$2-'Mass Ion Calculations'!$E$25-'Mass Ion Calculations'!$E14-'Mass Ion Calculations'!$D$5)))</f>
        <v/>
      </c>
      <c r="X12" s="3" t="str">
        <f>IF(OR($B12="",X$3=""),"",IF('Mass Ion Calculations'!$D$6="Yes",IF('Mass Ion Calculations'!$D$7="Yes",'Mass Ion Calculations'!$D$18+'AA Exact Masses'!$Q$2-'Mass Ion Calculations'!$C$26-'Mass Ion Calculations'!$C13-'Mass Ion Calculations'!$D$5,'Mass Ion Calculations'!$F$18+'AA Exact Masses'!$Q$2-'Mass Ion Calculations'!$E$26-'Mass Ion Calculations'!$E14-'Mass Ion Calculations'!$D$5),IF('Mass Ion Calculations'!$D$7="Yes", 'Mass Ion Calculations'!$D$15+'AA Exact Masses'!$Q$2-'Mass Ion Calculations'!$C$26-'Mass Ion Calculations'!$C13-'Mass Ion Calculations'!$D$5,'Mass Ion Calculations'!$F$15+'AA Exact Masses'!$Q$2-'Mass Ion Calculations'!$E$26-'Mass Ion Calculations'!$E14-'Mass Ion Calculations'!$D$5)))</f>
        <v/>
      </c>
      <c r="Y12" s="3" t="str">
        <f>IF(OR($B12="",Y$3=""),"",IF('Mass Ion Calculations'!$D$6="Yes",IF('Mass Ion Calculations'!$D$7="Yes",'Mass Ion Calculations'!$D$18+'AA Exact Masses'!$Q$2-'Mass Ion Calculations'!$C$27-'Mass Ion Calculations'!$C13-'Mass Ion Calculations'!$D$5,'Mass Ion Calculations'!$F$18+'AA Exact Masses'!$Q$2-'Mass Ion Calculations'!$E$27-'Mass Ion Calculations'!$E14-'Mass Ion Calculations'!$D$5),IF('Mass Ion Calculations'!$D$7="Yes", 'Mass Ion Calculations'!$D$15+'AA Exact Masses'!$Q$2-'Mass Ion Calculations'!$C$27-'Mass Ion Calculations'!$C13-'Mass Ion Calculations'!$D$5,'Mass Ion Calculations'!$F$15+'AA Exact Masses'!$Q$2-'Mass Ion Calculations'!$E$27-'Mass Ion Calculations'!$E14-'Mass Ion Calculations'!$D$5)))</f>
        <v/>
      </c>
      <c r="Z12" s="3" t="str">
        <f>IF(OR($B12="",Z$3=""),"",IF('Mass Ion Calculations'!$D$6="Yes",IF('Mass Ion Calculations'!$D$7="Yes",'Mass Ion Calculations'!$D$18+'AA Exact Masses'!$Q$2-'Mass Ion Calculations'!$C$28-'Mass Ion Calculations'!$C13-'Mass Ion Calculations'!$D$5,'Mass Ion Calculations'!$F$18+'AA Exact Masses'!$Q$2-'Mass Ion Calculations'!$E$2-'Mass Ion Calculations'!$E14-'Mass Ion Calculations'!$D$5),IF('Mass Ion Calculations'!$D$7="Yes", 'Mass Ion Calculations'!$D$15+'AA Exact Masses'!$Q$2-'Mass Ion Calculations'!$C$28-'Mass Ion Calculations'!$C13-'Mass Ion Calculations'!$D$5,'Mass Ion Calculations'!$F$15+'AA Exact Masses'!$Q$2-'Mass Ion Calculations'!$E$2-'Mass Ion Calculations'!$E14-'Mass Ion Calculations'!$D$5)))</f>
        <v/>
      </c>
    </row>
    <row r="13" spans="2:26" x14ac:dyDescent="0.25">
      <c r="B13" s="4" t="str">
        <f>IF('Mass Ion Calculations'!B14="","",'Mass Ion Calculations'!B14)</f>
        <v>Glu(OtBu)</v>
      </c>
      <c r="C13" s="3">
        <f>IF(OR($B13="",C$3=""),"",IF('Mass Ion Calculations'!$D$6="Yes",IF('Mass Ion Calculations'!$D$7="Yes",'Mass Ion Calculations'!$D$18+'AA Exact Masses'!$Q$2-'Mass Ion Calculations'!$C$5-'Mass Ion Calculations'!$C14-'Mass Ion Calculations'!$D$5,'Mass Ion Calculations'!$F$18+'AA Exact Masses'!$Q$2-'Mass Ion Calculations'!$E$5-'Mass Ion Calculations'!E14-'Mass Ion Calculations'!$D$5),IF('Mass Ion Calculations'!$D$7="Yes", 'Mass Ion Calculations'!$D$15+'AA Exact Masses'!$Q$2-'Mass Ion Calculations'!$C$5-'Mass Ion Calculations'!$C14-'Mass Ion Calculations'!$D$5,'Mass Ion Calculations'!$F$15+'AA Exact Masses'!$Q$2-'Mass Ion Calculations'!$E$5-'Mass Ion Calculations'!E14-'Mass Ion Calculations'!$D$5)))</f>
        <v>380.81125999999995</v>
      </c>
      <c r="D13" s="3">
        <f>IF(OR($B13="",D$3=""),"",IF('Mass Ion Calculations'!$D$6="Yes",IF('Mass Ion Calculations'!$D$7="Yes",'Mass Ion Calculations'!$D$18+'AA Exact Masses'!$Q$2-'Mass Ion Calculations'!$C$6-'Mass Ion Calculations'!$C14-'Mass Ion Calculations'!$D$5,'Mass Ion Calculations'!$F$18+'AA Exact Masses'!$Q$2-'Mass Ion Calculations'!$E$6-'Mass Ion Calculations'!E14-'Mass Ion Calculations'!$D$5),IF('Mass Ion Calculations'!$D$7="Yes", 'Mass Ion Calculations'!$D$15+'AA Exact Masses'!$Q$2-'Mass Ion Calculations'!$C$6-'Mass Ion Calculations'!$C14-'Mass Ion Calculations'!$D$5,'Mass Ion Calculations'!$F$15+'AA Exact Masses'!$Q$2-'Mass Ion Calculations'!$E$6-'Mass Ion Calculations'!E14-'Mass Ion Calculations'!$D$5)))</f>
        <v>423.85347000000002</v>
      </c>
      <c r="E13" s="3">
        <f>IF(OR($B13="",E$3=""),"",IF('Mass Ion Calculations'!$D$6="Yes",IF('Mass Ion Calculations'!$D$7="Yes",'Mass Ion Calculations'!$D$18+'AA Exact Masses'!$Q$2-'Mass Ion Calculations'!$C$7-'Mass Ion Calculations'!$C14-'Mass Ion Calculations'!$D$5,'Mass Ion Calculations'!$F$18+'AA Exact Masses'!$Q$2-'Mass Ion Calculations'!$E$7-'Mass Ion Calculations'!$E14-'Mass Ion Calculations'!$D$5),IF('Mass Ion Calculations'!$D$7="Yes", 'Mass Ion Calculations'!$D$15+'AA Exact Masses'!$Q$2-'Mass Ion Calculations'!$C$7-'Mass Ion Calculations'!$C14-'Mass Ion Calculations'!$D$5,'Mass Ion Calculations'!$F$15+'AA Exact Masses'!$Q$2-'Mass Ion Calculations'!$E$7-'Mass Ion Calculations'!$E14-'Mass Ion Calculations'!$D$5)))</f>
        <v>381.80652000000009</v>
      </c>
      <c r="F13" s="3">
        <f>IF(OR($B13="",F$3=""),"",IF('Mass Ion Calculations'!$D$6="Yes",IF('Mass Ion Calculations'!$D$7="Yes",'Mass Ion Calculations'!$D$18+'AA Exact Masses'!$Q$2-'Mass Ion Calculations'!$C$8-'Mass Ion Calculations'!$C14-'Mass Ion Calculations'!$D$5,'Mass Ion Calculations'!$F$18+'AA Exact Masses'!$Q$2-'Mass Ion Calculations'!$E$8-'Mass Ion Calculations'!$E14-'Mass Ion Calculations'!$D$5),IF('Mass Ion Calculations'!$D$7="Yes", 'Mass Ion Calculations'!$D$15+'AA Exact Masses'!$Q$2-'Mass Ion Calculations'!$C$8-'Mass Ion Calculations'!$C14-'Mass Ion Calculations'!$D$5,'Mass Ion Calculations'!$F$15+'AA Exact Masses'!$Q$2-'Mass Ion Calculations'!$E$8-'Mass Ion Calculations'!$E14-'Mass Ion Calculations'!$D$5)))</f>
        <v>381.80652000000009</v>
      </c>
      <c r="G13" s="3">
        <f>IF(OR($B13="",G$3=""),"",IF('Mass Ion Calculations'!$D$6="Yes",IF('Mass Ion Calculations'!$D$7="Yes",'Mass Ion Calculations'!$D$18+'AA Exact Masses'!$Q$2-'Mass Ion Calculations'!$C$9-'Mass Ion Calculations'!$C14-'Mass Ion Calculations'!$D$5,'Mass Ion Calculations'!$F$18+'AA Exact Masses'!$Q$2-'Mass Ion Calculations'!$E$9-'Mass Ion Calculations'!$E14-'Mass Ion Calculations'!$D$5),IF('Mass Ion Calculations'!$D$7="Yes", 'Mass Ion Calculations'!$D$15+'AA Exact Masses'!$Q$2-'Mass Ion Calculations'!$C$9-'Mass Ion Calculations'!$C14-'Mass Ion Calculations'!$D$5,'Mass Ion Calculations'!$F$15+'AA Exact Masses'!$Q$2-'Mass Ion Calculations'!$E$9-'Mass Ion Calculations'!$E14-'Mass Ion Calculations'!$D$5)))</f>
        <v>423.85347000000002</v>
      </c>
      <c r="H13" s="3">
        <f>IF(OR($B13="",H$3=""),"",IF('Mass Ion Calculations'!$D$6="Yes",IF('Mass Ion Calculations'!$D$7="Yes",'Mass Ion Calculations'!$D$18+'AA Exact Masses'!$Q$2-'Mass Ion Calculations'!$C$10-'Mass Ion Calculations'!$C14-'Mass Ion Calculations'!$D$5,'Mass Ion Calculations'!$F$18+'AA Exact Masses'!$Q$2-'Mass Ion Calculations'!$E$10-'Mass Ion Calculations'!$E14-'Mass Ion Calculations'!$D$5),IF('Mass Ion Calculations'!$D$7="Yes", 'Mass Ion Calculations'!$D$15+'AA Exact Masses'!$Q$2-'Mass Ion Calculations'!$C$10-'Mass Ion Calculations'!$C14-'Mass Ion Calculations'!$D$5,'Mass Ion Calculations'!$F$15+'AA Exact Masses'!$Q$2-'Mass Ion Calculations'!$E$10-'Mass Ion Calculations'!$E14-'Mass Ion Calculations'!$D$5)))</f>
        <v>381.80652000000009</v>
      </c>
      <c r="I13" s="3">
        <f>IF(OR($B13="",I$3=""),"",IF('Mass Ion Calculations'!$D$6="Yes",IF('Mass Ion Calculations'!$D$7="Yes",'Mass Ion Calculations'!$D$18+'AA Exact Masses'!$Q$2-'Mass Ion Calculations'!$C$11-'Mass Ion Calculations'!$C14-'Mass Ion Calculations'!$D$5,'Mass Ion Calculations'!$F$18+'AA Exact Masses'!$Q$2-'Mass Ion Calculations'!$E$11-'Mass Ion Calculations'!$E14-'Mass Ion Calculations'!$D$5),IF('Mass Ion Calculations'!$D$7="Yes", 'Mass Ion Calculations'!$D$15+'AA Exact Masses'!$Q$2-'Mass Ion Calculations'!$C$11-'Mass Ion Calculations'!$C14-'Mass Ion Calculations'!$D$5,'Mass Ion Calculations'!$F$15+'AA Exact Masses'!$Q$2-'Mass Ion Calculations'!$E$11-'Mass Ion Calculations'!$E14-'Mass Ion Calculations'!$D$5)))</f>
        <v>380.81125999999995</v>
      </c>
      <c r="J13" s="3">
        <f>IF(OR($B13="",J$3=""),"",IF('Mass Ion Calculations'!$D$6="Yes",IF('Mass Ion Calculations'!$D$7="Yes",'Mass Ion Calculations'!$D$18+'AA Exact Masses'!$Q$2-'Mass Ion Calculations'!$C$12-'Mass Ion Calculations'!$C14-'Mass Ion Calculations'!$D$5,'Mass Ion Calculations'!$F$18+'AA Exact Masses'!$Q$2-'Mass Ion Calculations'!$E$12-'Mass Ion Calculations'!$E14-'Mass Ion Calculations'!$D$5),IF('Mass Ion Calculations'!$D$7="Yes", 'Mass Ion Calculations'!$D$15+'AA Exact Masses'!$Q$2-'Mass Ion Calculations'!$C$12-'Mass Ion Calculations'!$C14-'Mass Ion Calculations'!$D$5,'Mass Ion Calculations'!$F$15+'AA Exact Masses'!$Q$2-'Mass Ion Calculations'!$E$12-'Mass Ion Calculations'!$E14-'Mass Ion Calculations'!$D$5)))</f>
        <v>395.82216999999991</v>
      </c>
      <c r="K13" s="3">
        <f>IF(OR($B13="",K$3=""),"",IF('Mass Ion Calculations'!$D$6="Yes",IF('Mass Ion Calculations'!$D$7="Yes",'Mass Ion Calculations'!$D$18+'AA Exact Masses'!$Q$2-'Mass Ion Calculations'!$C$13-'Mass Ion Calculations'!$C14-'Mass Ion Calculations'!$D$5,'Mass Ion Calculations'!$F$18+'AA Exact Masses'!$Q$2-'Mass Ion Calculations'!$E$14-'Mass Ion Calculations'!$E14-'Mass Ion Calculations'!$D$5),IF('Mass Ion Calculations'!$D$7="Yes", 'Mass Ion Calculations'!$D$15+'AA Exact Masses'!$Q$2-'Mass Ion Calculations'!$C$13-'Mass Ion Calculations'!$C14-'Mass Ion Calculations'!$D$5,'Mass Ion Calculations'!$F$15+'AA Exact Masses'!$Q$2-'Mass Ion Calculations'!$E$14-'Mass Ion Calculations'!$E14-'Mass Ion Calculations'!$D$5)))</f>
        <v>365.84798999999998</v>
      </c>
      <c r="L13" s="3">
        <f>IF(OR($B13="",L$3=""),"",IF('Mass Ion Calculations'!$D$6="Yes",IF('Mass Ion Calculations'!$D$7="Yes",'Mass Ion Calculations'!$D$18+'AA Exact Masses'!$Q$2-'Mass Ion Calculations'!$C$14-'Mass Ion Calculations'!$C14-'Mass Ion Calculations'!$D$5,'Mass Ion Calculations'!$F$18+'AA Exact Masses'!$Q$2-'Mass Ion Calculations'!$E$15-'Mass Ion Calculations'!$E14-'Mass Ion Calculations'!$D$5),IF('Mass Ion Calculations'!$D$7="Yes", 'Mass Ion Calculations'!$D$15+'AA Exact Masses'!$Q$2-'Mass Ion Calculations'!$C$14-'Mass Ion Calculations'!$C14-'Mass Ion Calculations'!$D$5,'Mass Ion Calculations'!$F$15+'AA Exact Masses'!$Q$2-'Mass Ion Calculations'!$E$15-'Mass Ion Calculations'!$E14-'Mass Ion Calculations'!$D$5)))</f>
        <v>379.86364000000003</v>
      </c>
      <c r="M13" s="3">
        <f>IF(OR($B13="",M$3=""),"",IF('Mass Ion Calculations'!$D$6="Yes",IF('Mass Ion Calculations'!$D$7="Yes",'Mass Ion Calculations'!$D$18+'AA Exact Masses'!$Q$2-'Mass Ion Calculations'!$C$15-'Mass Ion Calculations'!$C14-'Mass Ion Calculations'!$D$5,'Mass Ion Calculations'!$F$18+'AA Exact Masses'!$Q$2-'Mass Ion Calculations'!$E$16-'Mass Ion Calculations'!$E14-'Mass Ion Calculations'!$D$5),IF('Mass Ion Calculations'!$D$7="Yes", 'Mass Ion Calculations'!$D$15+'AA Exact Masses'!$Q$2-'Mass Ion Calculations'!$C$15-'Mass Ion Calculations'!$C14-'Mass Ion Calculations'!$D$5,'Mass Ion Calculations'!$F$15+'AA Exact Masses'!$Q$2-'Mass Ion Calculations'!$E$16-'Mass Ion Calculations'!$E14-'Mass Ion Calculations'!$D$5)))</f>
        <v>423.85347000000002</v>
      </c>
      <c r="N13" s="3">
        <f>IF(OR($B13="",N$3=""),"",IF('Mass Ion Calculations'!$D$6="Yes",IF('Mass Ion Calculations'!$D$7="Yes",'Mass Ion Calculations'!$D$18+'AA Exact Masses'!$Q$2-'Mass Ion Calculations'!$C$16-'Mass Ion Calculations'!$C14-'Mass Ion Calculations'!$D$5,'Mass Ion Calculations'!$F$18+'AA Exact Masses'!$Q$2-'Mass Ion Calculations'!$E$17-'Mass Ion Calculations'!$E14-'Mass Ion Calculations'!$D$5),IF('Mass Ion Calculations'!$D$7="Yes", 'Mass Ion Calculations'!$D$15+'AA Exact Masses'!$Q$2-'Mass Ion Calculations'!$C$16-'Mass Ion Calculations'!$C14-'Mass Ion Calculations'!$D$5,'Mass Ion Calculations'!$F$15+'AA Exact Masses'!$Q$2-'Mass Ion Calculations'!$E$17-'Mass Ion Calculations'!$E14-'Mass Ion Calculations'!$D$5)))</f>
        <v>347.82216999999991</v>
      </c>
      <c r="O13" s="3">
        <f>IF(OR($B13="",O$3=""),"",IF('Mass Ion Calculations'!$D$6="Yes",IF('Mass Ion Calculations'!$D$7="Yes",'Mass Ion Calculations'!$D$18+'AA Exact Masses'!$Q$2-'Mass Ion Calculations'!$C$17-'Mass Ion Calculations'!$C14-'Mass Ion Calculations'!$D$5,'Mass Ion Calculations'!$F$18+'AA Exact Masses'!$Q$2-'Mass Ion Calculations'!$E$18-'Mass Ion Calculations'!$E14-'Mass Ion Calculations'!$D$5),IF('Mass Ion Calculations'!$D$7="Yes", 'Mass Ion Calculations'!$D$15+'AA Exact Masses'!$Q$2-'Mass Ion Calculations'!$C$17-'Mass Ion Calculations'!$C14-'Mass Ion Calculations'!$D$5,'Mass Ion Calculations'!$F$15+'AA Exact Masses'!$Q$2-'Mass Ion Calculations'!$E$18-'Mass Ion Calculations'!$E14-'Mass Ion Calculations'!$D$5)))</f>
        <v>221.92552000000001</v>
      </c>
      <c r="P13" s="3">
        <f>IF(OR($B13="",P$3=""),"",IF('Mass Ion Calculations'!$D$6="Yes",IF('Mass Ion Calculations'!$D$7="Yes",'Mass Ion Calculations'!$D$18+'AA Exact Masses'!$Q$2-'Mass Ion Calculations'!$C$19-'Mass Ion Calculations'!$C14-'Mass Ion Calculations'!$D$5,'Mass Ion Calculations'!$F$18+'AA Exact Masses'!$Q$2-'Mass Ion Calculations'!$E$19-'Mass Ion Calculations'!$E14-'Mass Ion Calculations'!$D$5),IF('Mass Ion Calculations'!$D$7="Yes", 'Mass Ion Calculations'!$D$15+'AA Exact Masses'!$Q$2-'Mass Ion Calculations'!$C$19-'Mass Ion Calculations'!$C14-'Mass Ion Calculations'!$D$5,'Mass Ion Calculations'!$F$15+'AA Exact Masses'!$Q$2-'Mass Ion Calculations'!$E$19-'Mass Ion Calculations'!$E14-'Mass Ion Calculations'!$D$5)))</f>
        <v>395.82216999999991</v>
      </c>
      <c r="Q13" s="3">
        <f>IF(OR($B13="",Q$3=""),"",IF('Mass Ion Calculations'!$D$6="Yes",IF('Mass Ion Calculations'!$D$7="Yes",'Mass Ion Calculations'!$D$18+'AA Exact Masses'!$Q$2-'Mass Ion Calculations'!$C$20-'Mass Ion Calculations'!$C14-'Mass Ion Calculations'!$D$5,'Mass Ion Calculations'!$F$18+'AA Exact Masses'!$Q$2-'Mass Ion Calculations'!$E$20-'Mass Ion Calculations'!$E14-'Mass Ion Calculations'!$D$5),IF('Mass Ion Calculations'!$D$7="Yes", 'Mass Ion Calculations'!$D$15+'AA Exact Masses'!$Q$2-'Mass Ion Calculations'!$C$20-'Mass Ion Calculations'!$C14-'Mass Ion Calculations'!$D$5,'Mass Ion Calculations'!$F$15+'AA Exact Masses'!$Q$2-'Mass Ion Calculations'!$E$20-'Mass Ion Calculations'!$E14-'Mass Ion Calculations'!$D$5)))</f>
        <v>381.80652000000009</v>
      </c>
      <c r="R13" s="3" t="e">
        <f>IF(OR($B13="",R$3=""),"",IF('Mass Ion Calculations'!$D$6="Yes",IF('Mass Ion Calculations'!$D$7="Yes",'Mass Ion Calculations'!$D$18+'AA Exact Masses'!$Q$2-'Mass Ion Calculations'!$C$21-'Mass Ion Calculations'!$C14-'Mass Ion Calculations'!$D$5,'Mass Ion Calculations'!$F$18+'AA Exact Masses'!$Q$2-'Mass Ion Calculations'!$E$21-'Mass Ion Calculations'!$E14-'Mass Ion Calculations'!$D$5),IF('Mass Ion Calculations'!$D$7="Yes", 'Mass Ion Calculations'!$D$15+'AA Exact Masses'!$Q$2-'Mass Ion Calculations'!$C$21-'Mass Ion Calculations'!$C14-'Mass Ion Calculations'!$D$5,'Mass Ion Calculations'!$F$15+'AA Exact Masses'!$Q$2-'Mass Ion Calculations'!$E$21-'Mass Ion Calculations'!$E14-'Mass Ion Calculations'!$D$5)))</f>
        <v>#VALUE!</v>
      </c>
      <c r="S13" s="3" t="str">
        <f>IF(OR($B13="",S$3=""),"",IF('Mass Ion Calculations'!$D$6="Yes",IF('Mass Ion Calculations'!$D$7="Yes",'Mass Ion Calculations'!$D$18+'AA Exact Masses'!$Q$2-'Mass Ion Calculations'!$C$21-'Mass Ion Calculations'!$C14-'Mass Ion Calculations'!$D$5,'Mass Ion Calculations'!$F$18+'AA Exact Masses'!$Q$2-'Mass Ion Calculations'!$E$21-'Mass Ion Calculations'!$E15-'Mass Ion Calculations'!$D$5),IF('Mass Ion Calculations'!$D$7="Yes", 'Mass Ion Calculations'!$D$15+'AA Exact Masses'!$Q$2-'Mass Ion Calculations'!$C$21-'Mass Ion Calculations'!$C14-'Mass Ion Calculations'!$D$5,'Mass Ion Calculations'!$F$15+'AA Exact Masses'!$Q$2-'Mass Ion Calculations'!$E$21-'Mass Ion Calculations'!$E15-'Mass Ion Calculations'!$D$5)))</f>
        <v/>
      </c>
      <c r="T13" s="3" t="e">
        <f>IF(OR($B13="",T$3=""),"",IF('Mass Ion Calculations'!$D$6="Yes",IF('Mass Ion Calculations'!$D$7="Yes",'Mass Ion Calculations'!$D$18+'AA Exact Masses'!$Q$2-'Mass Ion Calculations'!$C$22-'Mass Ion Calculations'!$C14-'Mass Ion Calculations'!$D$5,'Mass Ion Calculations'!$F$18+'AA Exact Masses'!$Q$2-'Mass Ion Calculations'!$E$22-'Mass Ion Calculations'!$E15-'Mass Ion Calculations'!$D$5),IF('Mass Ion Calculations'!$D$7="Yes", 'Mass Ion Calculations'!$D$15+'AA Exact Masses'!$Q$2-'Mass Ion Calculations'!$C$22-'Mass Ion Calculations'!$C14-'Mass Ion Calculations'!$D$5,'Mass Ion Calculations'!$F$15+'AA Exact Masses'!$Q$2-'Mass Ion Calculations'!$E$22-'Mass Ion Calculations'!$E15-'Mass Ion Calculations'!$D$5)))</f>
        <v>#VALUE!</v>
      </c>
      <c r="U13" s="3" t="e">
        <f>IF(OR($B13="",U$3=""),"",IF('Mass Ion Calculations'!$D$6="Yes",IF('Mass Ion Calculations'!$D$7="Yes",'Mass Ion Calculations'!$D$18+'AA Exact Masses'!$Q$2-'Mass Ion Calculations'!$C$23-'Mass Ion Calculations'!$C14-'Mass Ion Calculations'!$D$5,'Mass Ion Calculations'!$F$18+'AA Exact Masses'!$Q$2-'Mass Ion Calculations'!$E$23-'Mass Ion Calculations'!$E15-'Mass Ion Calculations'!$D$5),IF('Mass Ion Calculations'!$D$7="Yes", 'Mass Ion Calculations'!$D$15+'AA Exact Masses'!$Q$2-'Mass Ion Calculations'!$C$23-'Mass Ion Calculations'!$C14-'Mass Ion Calculations'!$D$5,'Mass Ion Calculations'!$F$15+'AA Exact Masses'!$Q$2-'Mass Ion Calculations'!$E$23-'Mass Ion Calculations'!$E15-'Mass Ion Calculations'!$D$5)))</f>
        <v>#VALUE!</v>
      </c>
      <c r="V13" s="3" t="str">
        <f>IF(OR($B13="",V$3=""),"",IF('Mass Ion Calculations'!$D$6="Yes",IF('Mass Ion Calculations'!$D$7="Yes",'Mass Ion Calculations'!$D$18+'AA Exact Masses'!$Q$2-'Mass Ion Calculations'!$C$24-'Mass Ion Calculations'!$C14-'Mass Ion Calculations'!$D$5,'Mass Ion Calculations'!$F$18+'AA Exact Masses'!$Q$2-'Mass Ion Calculations'!$E$24-'Mass Ion Calculations'!$E15-'Mass Ion Calculations'!$D$5),IF('Mass Ion Calculations'!$D$7="Yes", 'Mass Ion Calculations'!$D$15+'AA Exact Masses'!$Q$2-'Mass Ion Calculations'!$C$24-'Mass Ion Calculations'!$C14-'Mass Ion Calculations'!$D$5,'Mass Ion Calculations'!$F$15+'AA Exact Masses'!$Q$2-'Mass Ion Calculations'!$E$24-'Mass Ion Calculations'!$E15-'Mass Ion Calculations'!$D$5)))</f>
        <v/>
      </c>
      <c r="W13" s="3" t="str">
        <f>IF(OR($B13="",W$3=""),"",IF('Mass Ion Calculations'!$D$6="Yes",IF('Mass Ion Calculations'!$D$7="Yes",'Mass Ion Calculations'!$D$18+'AA Exact Masses'!$Q$2-'Mass Ion Calculations'!$C$25-'Mass Ion Calculations'!$C14-'Mass Ion Calculations'!$D$5,'Mass Ion Calculations'!$F$18+'AA Exact Masses'!$Q$2-'Mass Ion Calculations'!$E$25-'Mass Ion Calculations'!$E15-'Mass Ion Calculations'!$D$5),IF('Mass Ion Calculations'!$D$7="Yes", 'Mass Ion Calculations'!$D$15+'AA Exact Masses'!$Q$2-'Mass Ion Calculations'!$C$25-'Mass Ion Calculations'!$C14-'Mass Ion Calculations'!$D$5,'Mass Ion Calculations'!$F$15+'AA Exact Masses'!$Q$2-'Mass Ion Calculations'!$E$25-'Mass Ion Calculations'!$E15-'Mass Ion Calculations'!$D$5)))</f>
        <v/>
      </c>
      <c r="X13" s="3" t="str">
        <f>IF(OR($B13="",X$3=""),"",IF('Mass Ion Calculations'!$D$6="Yes",IF('Mass Ion Calculations'!$D$7="Yes",'Mass Ion Calculations'!$D$18+'AA Exact Masses'!$Q$2-'Mass Ion Calculations'!$C$26-'Mass Ion Calculations'!$C14-'Mass Ion Calculations'!$D$5,'Mass Ion Calculations'!$F$18+'AA Exact Masses'!$Q$2-'Mass Ion Calculations'!$E$26-'Mass Ion Calculations'!$E15-'Mass Ion Calculations'!$D$5),IF('Mass Ion Calculations'!$D$7="Yes", 'Mass Ion Calculations'!$D$15+'AA Exact Masses'!$Q$2-'Mass Ion Calculations'!$C$26-'Mass Ion Calculations'!$C14-'Mass Ion Calculations'!$D$5,'Mass Ion Calculations'!$F$15+'AA Exact Masses'!$Q$2-'Mass Ion Calculations'!$E$26-'Mass Ion Calculations'!$E15-'Mass Ion Calculations'!$D$5)))</f>
        <v/>
      </c>
      <c r="Y13" s="3" t="str">
        <f>IF(OR($B13="",Y$3=""),"",IF('Mass Ion Calculations'!$D$6="Yes",IF('Mass Ion Calculations'!$D$7="Yes",'Mass Ion Calculations'!$D$18+'AA Exact Masses'!$Q$2-'Mass Ion Calculations'!$C$27-'Mass Ion Calculations'!$C14-'Mass Ion Calculations'!$D$5,'Mass Ion Calculations'!$F$18+'AA Exact Masses'!$Q$2-'Mass Ion Calculations'!$E$27-'Mass Ion Calculations'!$E15-'Mass Ion Calculations'!$D$5),IF('Mass Ion Calculations'!$D$7="Yes", 'Mass Ion Calculations'!$D$15+'AA Exact Masses'!$Q$2-'Mass Ion Calculations'!$C$27-'Mass Ion Calculations'!$C14-'Mass Ion Calculations'!$D$5,'Mass Ion Calculations'!$F$15+'AA Exact Masses'!$Q$2-'Mass Ion Calculations'!$E$27-'Mass Ion Calculations'!$E15-'Mass Ion Calculations'!$D$5)))</f>
        <v/>
      </c>
      <c r="Z13" s="3" t="str">
        <f>IF(OR($B13="",Z$3=""),"",IF('Mass Ion Calculations'!$D$6="Yes",IF('Mass Ion Calculations'!$D$7="Yes",'Mass Ion Calculations'!$D$18+'AA Exact Masses'!$Q$2-'Mass Ion Calculations'!$C$28-'Mass Ion Calculations'!$C14-'Mass Ion Calculations'!$D$5,'Mass Ion Calculations'!$F$18+'AA Exact Masses'!$Q$2-'Mass Ion Calculations'!$E$2-'Mass Ion Calculations'!$E15-'Mass Ion Calculations'!$D$5),IF('Mass Ion Calculations'!$D$7="Yes", 'Mass Ion Calculations'!$D$15+'AA Exact Masses'!$Q$2-'Mass Ion Calculations'!$C$28-'Mass Ion Calculations'!$C14-'Mass Ion Calculations'!$D$5,'Mass Ion Calculations'!$F$15+'AA Exact Masses'!$Q$2-'Mass Ion Calculations'!$E$2-'Mass Ion Calculations'!$E15-'Mass Ion Calculations'!$D$5)))</f>
        <v/>
      </c>
    </row>
    <row r="14" spans="2:26" x14ac:dyDescent="0.25">
      <c r="B14" s="4" t="str">
        <f>IF('Mass Ion Calculations'!B15="","",'Mass Ion Calculations'!B15)</f>
        <v>Asp(tBu)</v>
      </c>
      <c r="C14" s="3">
        <f>IF(OR($B14="",C$3=""),"",IF('Mass Ion Calculations'!$D$6="Yes",IF('Mass Ion Calculations'!$D$7="Yes",'Mass Ion Calculations'!$D$18+'AA Exact Masses'!$Q$2-'Mass Ion Calculations'!$C$5-'Mass Ion Calculations'!$C15-'Mass Ion Calculations'!$D$5,'Mass Ion Calculations'!$F$18+'AA Exact Masses'!$Q$2-'Mass Ion Calculations'!$E$5-'Mass Ion Calculations'!E15-'Mass Ion Calculations'!$D$5),IF('Mass Ion Calculations'!$D$7="Yes", 'Mass Ion Calculations'!$D$15+'AA Exact Masses'!$Q$2-'Mass Ion Calculations'!$C$5-'Mass Ion Calculations'!$C15-'Mass Ion Calculations'!$D$5,'Mass Ion Calculations'!$F$15+'AA Exact Masses'!$Q$2-'Mass Ion Calculations'!$E$5-'Mass Ion Calculations'!E15-'Mass Ion Calculations'!$D$5)))</f>
        <v>394.82691</v>
      </c>
      <c r="D14" s="3">
        <f>IF(OR($B14="",D$3=""),"",IF('Mass Ion Calculations'!$D$6="Yes",IF('Mass Ion Calculations'!$D$7="Yes",'Mass Ion Calculations'!$D$18+'AA Exact Masses'!$Q$2-'Mass Ion Calculations'!$C$6-'Mass Ion Calculations'!$C15-'Mass Ion Calculations'!$D$5,'Mass Ion Calculations'!$F$18+'AA Exact Masses'!$Q$2-'Mass Ion Calculations'!$E$6-'Mass Ion Calculations'!E15-'Mass Ion Calculations'!$D$5),IF('Mass Ion Calculations'!$D$7="Yes", 'Mass Ion Calculations'!$D$15+'AA Exact Masses'!$Q$2-'Mass Ion Calculations'!$C$6-'Mass Ion Calculations'!$C15-'Mass Ion Calculations'!$D$5,'Mass Ion Calculations'!$F$15+'AA Exact Masses'!$Q$2-'Mass Ion Calculations'!$E$6-'Mass Ion Calculations'!E15-'Mass Ion Calculations'!$D$5)))</f>
        <v>437.86912000000007</v>
      </c>
      <c r="E14" s="3">
        <f>IF(OR($B14="",E$3=""),"",IF('Mass Ion Calculations'!$D$6="Yes",IF('Mass Ion Calculations'!$D$7="Yes",'Mass Ion Calculations'!$D$18+'AA Exact Masses'!$Q$2-'Mass Ion Calculations'!$C$7-'Mass Ion Calculations'!$C15-'Mass Ion Calculations'!$D$5,'Mass Ion Calculations'!$F$18+'AA Exact Masses'!$Q$2-'Mass Ion Calculations'!$E$7-'Mass Ion Calculations'!$E15-'Mass Ion Calculations'!$D$5),IF('Mass Ion Calculations'!$D$7="Yes", 'Mass Ion Calculations'!$D$15+'AA Exact Masses'!$Q$2-'Mass Ion Calculations'!$C$7-'Mass Ion Calculations'!$C15-'Mass Ion Calculations'!$D$5,'Mass Ion Calculations'!$F$15+'AA Exact Masses'!$Q$2-'Mass Ion Calculations'!$E$7-'Mass Ion Calculations'!$E15-'Mass Ion Calculations'!$D$5)))</f>
        <v>395.82217000000014</v>
      </c>
      <c r="F14" s="3">
        <f>IF(OR($B14="",F$3=""),"",IF('Mass Ion Calculations'!$D$6="Yes",IF('Mass Ion Calculations'!$D$7="Yes",'Mass Ion Calculations'!$D$18+'AA Exact Masses'!$Q$2-'Mass Ion Calculations'!$C$8-'Mass Ion Calculations'!$C15-'Mass Ion Calculations'!$D$5,'Mass Ion Calculations'!$F$18+'AA Exact Masses'!$Q$2-'Mass Ion Calculations'!$E$8-'Mass Ion Calculations'!$E15-'Mass Ion Calculations'!$D$5),IF('Mass Ion Calculations'!$D$7="Yes", 'Mass Ion Calculations'!$D$15+'AA Exact Masses'!$Q$2-'Mass Ion Calculations'!$C$8-'Mass Ion Calculations'!$C15-'Mass Ion Calculations'!$D$5,'Mass Ion Calculations'!$F$15+'AA Exact Masses'!$Q$2-'Mass Ion Calculations'!$E$8-'Mass Ion Calculations'!$E15-'Mass Ion Calculations'!$D$5)))</f>
        <v>395.82217000000014</v>
      </c>
      <c r="G14" s="3">
        <f>IF(OR($B14="",G$3=""),"",IF('Mass Ion Calculations'!$D$6="Yes",IF('Mass Ion Calculations'!$D$7="Yes",'Mass Ion Calculations'!$D$18+'AA Exact Masses'!$Q$2-'Mass Ion Calculations'!$C$9-'Mass Ion Calculations'!$C15-'Mass Ion Calculations'!$D$5,'Mass Ion Calculations'!$F$18+'AA Exact Masses'!$Q$2-'Mass Ion Calculations'!$E$9-'Mass Ion Calculations'!$E15-'Mass Ion Calculations'!$D$5),IF('Mass Ion Calculations'!$D$7="Yes", 'Mass Ion Calculations'!$D$15+'AA Exact Masses'!$Q$2-'Mass Ion Calculations'!$C$9-'Mass Ion Calculations'!$C15-'Mass Ion Calculations'!$D$5,'Mass Ion Calculations'!$F$15+'AA Exact Masses'!$Q$2-'Mass Ion Calculations'!$E$9-'Mass Ion Calculations'!$E15-'Mass Ion Calculations'!$D$5)))</f>
        <v>437.86912000000007</v>
      </c>
      <c r="H14" s="3">
        <f>IF(OR($B14="",H$3=""),"",IF('Mass Ion Calculations'!$D$6="Yes",IF('Mass Ion Calculations'!$D$7="Yes",'Mass Ion Calculations'!$D$18+'AA Exact Masses'!$Q$2-'Mass Ion Calculations'!$C$10-'Mass Ion Calculations'!$C15-'Mass Ion Calculations'!$D$5,'Mass Ion Calculations'!$F$18+'AA Exact Masses'!$Q$2-'Mass Ion Calculations'!$E$10-'Mass Ion Calculations'!$E15-'Mass Ion Calculations'!$D$5),IF('Mass Ion Calculations'!$D$7="Yes", 'Mass Ion Calculations'!$D$15+'AA Exact Masses'!$Q$2-'Mass Ion Calculations'!$C$10-'Mass Ion Calculations'!$C15-'Mass Ion Calculations'!$D$5,'Mass Ion Calculations'!$F$15+'AA Exact Masses'!$Q$2-'Mass Ion Calculations'!$E$10-'Mass Ion Calculations'!$E15-'Mass Ion Calculations'!$D$5)))</f>
        <v>395.82217000000014</v>
      </c>
      <c r="I14" s="3">
        <f>IF(OR($B14="",I$3=""),"",IF('Mass Ion Calculations'!$D$6="Yes",IF('Mass Ion Calculations'!$D$7="Yes",'Mass Ion Calculations'!$D$18+'AA Exact Masses'!$Q$2-'Mass Ion Calculations'!$C$11-'Mass Ion Calculations'!$C15-'Mass Ion Calculations'!$D$5,'Mass Ion Calculations'!$F$18+'AA Exact Masses'!$Q$2-'Mass Ion Calculations'!$E$11-'Mass Ion Calculations'!$E15-'Mass Ion Calculations'!$D$5),IF('Mass Ion Calculations'!$D$7="Yes", 'Mass Ion Calculations'!$D$15+'AA Exact Masses'!$Q$2-'Mass Ion Calculations'!$C$11-'Mass Ion Calculations'!$C15-'Mass Ion Calculations'!$D$5,'Mass Ion Calculations'!$F$15+'AA Exact Masses'!$Q$2-'Mass Ion Calculations'!$E$11-'Mass Ion Calculations'!$E15-'Mass Ion Calculations'!$D$5)))</f>
        <v>394.82691</v>
      </c>
      <c r="J14" s="3">
        <f>IF(OR($B14="",J$3=""),"",IF('Mass Ion Calculations'!$D$6="Yes",IF('Mass Ion Calculations'!$D$7="Yes",'Mass Ion Calculations'!$D$18+'AA Exact Masses'!$Q$2-'Mass Ion Calculations'!$C$12-'Mass Ion Calculations'!$C15-'Mass Ion Calculations'!$D$5,'Mass Ion Calculations'!$F$18+'AA Exact Masses'!$Q$2-'Mass Ion Calculations'!$E$12-'Mass Ion Calculations'!$E15-'Mass Ion Calculations'!$D$5),IF('Mass Ion Calculations'!$D$7="Yes", 'Mass Ion Calculations'!$D$15+'AA Exact Masses'!$Q$2-'Mass Ion Calculations'!$C$12-'Mass Ion Calculations'!$C15-'Mass Ion Calculations'!$D$5,'Mass Ion Calculations'!$F$15+'AA Exact Masses'!$Q$2-'Mass Ion Calculations'!$E$12-'Mass Ion Calculations'!$E15-'Mass Ion Calculations'!$D$5)))</f>
        <v>409.83781999999997</v>
      </c>
      <c r="K14" s="3">
        <f>IF(OR($B14="",K$3=""),"",IF('Mass Ion Calculations'!$D$6="Yes",IF('Mass Ion Calculations'!$D$7="Yes",'Mass Ion Calculations'!$D$18+'AA Exact Masses'!$Q$2-'Mass Ion Calculations'!$C$13-'Mass Ion Calculations'!$C15-'Mass Ion Calculations'!$D$5,'Mass Ion Calculations'!$F$18+'AA Exact Masses'!$Q$2-'Mass Ion Calculations'!$E$14-'Mass Ion Calculations'!$E15-'Mass Ion Calculations'!$D$5),IF('Mass Ion Calculations'!$D$7="Yes", 'Mass Ion Calculations'!$D$15+'AA Exact Masses'!$Q$2-'Mass Ion Calculations'!$C$13-'Mass Ion Calculations'!$C15-'Mass Ion Calculations'!$D$5,'Mass Ion Calculations'!$F$15+'AA Exact Masses'!$Q$2-'Mass Ion Calculations'!$E$14-'Mass Ion Calculations'!$E15-'Mass Ion Calculations'!$D$5)))</f>
        <v>379.86364000000003</v>
      </c>
      <c r="L14" s="3">
        <f>IF(OR($B14="",L$3=""),"",IF('Mass Ion Calculations'!$D$6="Yes",IF('Mass Ion Calculations'!$D$7="Yes",'Mass Ion Calculations'!$D$18+'AA Exact Masses'!$Q$2-'Mass Ion Calculations'!$C$14-'Mass Ion Calculations'!$C15-'Mass Ion Calculations'!$D$5,'Mass Ion Calculations'!$F$18+'AA Exact Masses'!$Q$2-'Mass Ion Calculations'!$E$15-'Mass Ion Calculations'!$E15-'Mass Ion Calculations'!$D$5),IF('Mass Ion Calculations'!$D$7="Yes", 'Mass Ion Calculations'!$D$15+'AA Exact Masses'!$Q$2-'Mass Ion Calculations'!$C$14-'Mass Ion Calculations'!$C15-'Mass Ion Calculations'!$D$5,'Mass Ion Calculations'!$F$15+'AA Exact Masses'!$Q$2-'Mass Ion Calculations'!$E$15-'Mass Ion Calculations'!$E15-'Mass Ion Calculations'!$D$5)))</f>
        <v>393.87929000000008</v>
      </c>
      <c r="M14" s="3">
        <f>IF(OR($B14="",M$3=""),"",IF('Mass Ion Calculations'!$D$6="Yes",IF('Mass Ion Calculations'!$D$7="Yes",'Mass Ion Calculations'!$D$18+'AA Exact Masses'!$Q$2-'Mass Ion Calculations'!$C$15-'Mass Ion Calculations'!$C15-'Mass Ion Calculations'!$D$5,'Mass Ion Calculations'!$F$18+'AA Exact Masses'!$Q$2-'Mass Ion Calculations'!$E$16-'Mass Ion Calculations'!$E15-'Mass Ion Calculations'!$D$5),IF('Mass Ion Calculations'!$D$7="Yes", 'Mass Ion Calculations'!$D$15+'AA Exact Masses'!$Q$2-'Mass Ion Calculations'!$C$15-'Mass Ion Calculations'!$C15-'Mass Ion Calculations'!$D$5,'Mass Ion Calculations'!$F$15+'AA Exact Masses'!$Q$2-'Mass Ion Calculations'!$E$16-'Mass Ion Calculations'!$E15-'Mass Ion Calculations'!$D$5)))</f>
        <v>437.86912000000007</v>
      </c>
      <c r="N14" s="3">
        <f>IF(OR($B14="",N$3=""),"",IF('Mass Ion Calculations'!$D$6="Yes",IF('Mass Ion Calculations'!$D$7="Yes",'Mass Ion Calculations'!$D$18+'AA Exact Masses'!$Q$2-'Mass Ion Calculations'!$C$16-'Mass Ion Calculations'!$C15-'Mass Ion Calculations'!$D$5,'Mass Ion Calculations'!$F$18+'AA Exact Masses'!$Q$2-'Mass Ion Calculations'!$E$17-'Mass Ion Calculations'!$E15-'Mass Ion Calculations'!$D$5),IF('Mass Ion Calculations'!$D$7="Yes", 'Mass Ion Calculations'!$D$15+'AA Exact Masses'!$Q$2-'Mass Ion Calculations'!$C$16-'Mass Ion Calculations'!$C15-'Mass Ion Calculations'!$D$5,'Mass Ion Calculations'!$F$15+'AA Exact Masses'!$Q$2-'Mass Ion Calculations'!$E$17-'Mass Ion Calculations'!$E15-'Mass Ion Calculations'!$D$5)))</f>
        <v>361.83781999999997</v>
      </c>
      <c r="O14" s="3">
        <f>IF(OR($B14="",O$3=""),"",IF('Mass Ion Calculations'!$D$6="Yes",IF('Mass Ion Calculations'!$D$7="Yes",'Mass Ion Calculations'!$D$18+'AA Exact Masses'!$Q$2-'Mass Ion Calculations'!$C$17-'Mass Ion Calculations'!$C15-'Mass Ion Calculations'!$D$5,'Mass Ion Calculations'!$F$18+'AA Exact Masses'!$Q$2-'Mass Ion Calculations'!$E$18-'Mass Ion Calculations'!$E15-'Mass Ion Calculations'!$D$5),IF('Mass Ion Calculations'!$D$7="Yes", 'Mass Ion Calculations'!$D$15+'AA Exact Masses'!$Q$2-'Mass Ion Calculations'!$C$17-'Mass Ion Calculations'!$C15-'Mass Ion Calculations'!$D$5,'Mass Ion Calculations'!$F$15+'AA Exact Masses'!$Q$2-'Mass Ion Calculations'!$E$18-'Mass Ion Calculations'!$E15-'Mass Ion Calculations'!$D$5)))</f>
        <v>235.94117000000006</v>
      </c>
      <c r="P14" s="3">
        <f>IF(OR($B14="",P$3=""),"",IF('Mass Ion Calculations'!$D$6="Yes",IF('Mass Ion Calculations'!$D$7="Yes",'Mass Ion Calculations'!$D$18+'AA Exact Masses'!$Q$2-'Mass Ion Calculations'!$C$19-'Mass Ion Calculations'!$C15-'Mass Ion Calculations'!$D$5,'Mass Ion Calculations'!$F$18+'AA Exact Masses'!$Q$2-'Mass Ion Calculations'!$E$19-'Mass Ion Calculations'!$E15-'Mass Ion Calculations'!$D$5),IF('Mass Ion Calculations'!$D$7="Yes", 'Mass Ion Calculations'!$D$15+'AA Exact Masses'!$Q$2-'Mass Ion Calculations'!$C$19-'Mass Ion Calculations'!$C15-'Mass Ion Calculations'!$D$5,'Mass Ion Calculations'!$F$15+'AA Exact Masses'!$Q$2-'Mass Ion Calculations'!$E$19-'Mass Ion Calculations'!$E15-'Mass Ion Calculations'!$D$5)))</f>
        <v>409.83781999999997</v>
      </c>
      <c r="Q14" s="3">
        <f>IF(OR($B14="",Q$3=""),"",IF('Mass Ion Calculations'!$D$6="Yes",IF('Mass Ion Calculations'!$D$7="Yes",'Mass Ion Calculations'!$D$18+'AA Exact Masses'!$Q$2-'Mass Ion Calculations'!$C$20-'Mass Ion Calculations'!$C15-'Mass Ion Calculations'!$D$5,'Mass Ion Calculations'!$F$18+'AA Exact Masses'!$Q$2-'Mass Ion Calculations'!$E$20-'Mass Ion Calculations'!$E15-'Mass Ion Calculations'!$D$5),IF('Mass Ion Calculations'!$D$7="Yes", 'Mass Ion Calculations'!$D$15+'AA Exact Masses'!$Q$2-'Mass Ion Calculations'!$C$20-'Mass Ion Calculations'!$C15-'Mass Ion Calculations'!$D$5,'Mass Ion Calculations'!$F$15+'AA Exact Masses'!$Q$2-'Mass Ion Calculations'!$E$20-'Mass Ion Calculations'!$E15-'Mass Ion Calculations'!$D$5)))</f>
        <v>395.82217000000014</v>
      </c>
      <c r="R14" s="3" t="e">
        <f>IF(OR($B14="",R$3=""),"",IF('Mass Ion Calculations'!$D$6="Yes",IF('Mass Ion Calculations'!$D$7="Yes",'Mass Ion Calculations'!$D$18+'AA Exact Masses'!$Q$2-'Mass Ion Calculations'!$C$21-'Mass Ion Calculations'!$C15-'Mass Ion Calculations'!$D$5,'Mass Ion Calculations'!$F$18+'AA Exact Masses'!$Q$2-'Mass Ion Calculations'!$E$21-'Mass Ion Calculations'!$E15-'Mass Ion Calculations'!$D$5),IF('Mass Ion Calculations'!$D$7="Yes", 'Mass Ion Calculations'!$D$15+'AA Exact Masses'!$Q$2-'Mass Ion Calculations'!$C$21-'Mass Ion Calculations'!$C15-'Mass Ion Calculations'!$D$5,'Mass Ion Calculations'!$F$15+'AA Exact Masses'!$Q$2-'Mass Ion Calculations'!$E$21-'Mass Ion Calculations'!$E15-'Mass Ion Calculations'!$D$5)))</f>
        <v>#VALUE!</v>
      </c>
      <c r="S14" s="3" t="str">
        <f>IF(OR($B14="",S$3=""),"",IF('Mass Ion Calculations'!$D$6="Yes",IF('Mass Ion Calculations'!$D$7="Yes",'Mass Ion Calculations'!$D$18+'AA Exact Masses'!$Q$2-'Mass Ion Calculations'!$C$21-'Mass Ion Calculations'!$C15-'Mass Ion Calculations'!$D$5,'Mass Ion Calculations'!$F$18+'AA Exact Masses'!$Q$2-'Mass Ion Calculations'!$E$21-'Mass Ion Calculations'!$E16-'Mass Ion Calculations'!$D$5),IF('Mass Ion Calculations'!$D$7="Yes", 'Mass Ion Calculations'!$D$15+'AA Exact Masses'!$Q$2-'Mass Ion Calculations'!$C$21-'Mass Ion Calculations'!$C15-'Mass Ion Calculations'!$D$5,'Mass Ion Calculations'!$F$15+'AA Exact Masses'!$Q$2-'Mass Ion Calculations'!$E$21-'Mass Ion Calculations'!$E16-'Mass Ion Calculations'!$D$5)))</f>
        <v/>
      </c>
      <c r="T14" s="3" t="e">
        <f>IF(OR($B14="",T$3=""),"",IF('Mass Ion Calculations'!$D$6="Yes",IF('Mass Ion Calculations'!$D$7="Yes",'Mass Ion Calculations'!$D$18+'AA Exact Masses'!$Q$2-'Mass Ion Calculations'!$C$22-'Mass Ion Calculations'!$C15-'Mass Ion Calculations'!$D$5,'Mass Ion Calculations'!$F$18+'AA Exact Masses'!$Q$2-'Mass Ion Calculations'!$E$22-'Mass Ion Calculations'!$E16-'Mass Ion Calculations'!$D$5),IF('Mass Ion Calculations'!$D$7="Yes", 'Mass Ion Calculations'!$D$15+'AA Exact Masses'!$Q$2-'Mass Ion Calculations'!$C$22-'Mass Ion Calculations'!$C15-'Mass Ion Calculations'!$D$5,'Mass Ion Calculations'!$F$15+'AA Exact Masses'!$Q$2-'Mass Ion Calculations'!$E$22-'Mass Ion Calculations'!$E16-'Mass Ion Calculations'!$D$5)))</f>
        <v>#VALUE!</v>
      </c>
      <c r="U14" s="3" t="e">
        <f>IF(OR($B14="",U$3=""),"",IF('Mass Ion Calculations'!$D$6="Yes",IF('Mass Ion Calculations'!$D$7="Yes",'Mass Ion Calculations'!$D$18+'AA Exact Masses'!$Q$2-'Mass Ion Calculations'!$C$23-'Mass Ion Calculations'!$C15-'Mass Ion Calculations'!$D$5,'Mass Ion Calculations'!$F$18+'AA Exact Masses'!$Q$2-'Mass Ion Calculations'!$E$23-'Mass Ion Calculations'!$E16-'Mass Ion Calculations'!$D$5),IF('Mass Ion Calculations'!$D$7="Yes", 'Mass Ion Calculations'!$D$15+'AA Exact Masses'!$Q$2-'Mass Ion Calculations'!$C$23-'Mass Ion Calculations'!$C15-'Mass Ion Calculations'!$D$5,'Mass Ion Calculations'!$F$15+'AA Exact Masses'!$Q$2-'Mass Ion Calculations'!$E$23-'Mass Ion Calculations'!$E16-'Mass Ion Calculations'!$D$5)))</f>
        <v>#VALUE!</v>
      </c>
      <c r="V14" s="3" t="str">
        <f>IF(OR($B14="",V$3=""),"",IF('Mass Ion Calculations'!$D$6="Yes",IF('Mass Ion Calculations'!$D$7="Yes",'Mass Ion Calculations'!$D$18+'AA Exact Masses'!$Q$2-'Mass Ion Calculations'!$C$24-'Mass Ion Calculations'!$C15-'Mass Ion Calculations'!$D$5,'Mass Ion Calculations'!$F$18+'AA Exact Masses'!$Q$2-'Mass Ion Calculations'!$E$24-'Mass Ion Calculations'!$E16-'Mass Ion Calculations'!$D$5),IF('Mass Ion Calculations'!$D$7="Yes", 'Mass Ion Calculations'!$D$15+'AA Exact Masses'!$Q$2-'Mass Ion Calculations'!$C$24-'Mass Ion Calculations'!$C15-'Mass Ion Calculations'!$D$5,'Mass Ion Calculations'!$F$15+'AA Exact Masses'!$Q$2-'Mass Ion Calculations'!$E$24-'Mass Ion Calculations'!$E16-'Mass Ion Calculations'!$D$5)))</f>
        <v/>
      </c>
      <c r="W14" s="3" t="str">
        <f>IF(OR($B14="",W$3=""),"",IF('Mass Ion Calculations'!$D$6="Yes",IF('Mass Ion Calculations'!$D$7="Yes",'Mass Ion Calculations'!$D$18+'AA Exact Masses'!$Q$2-'Mass Ion Calculations'!$C$25-'Mass Ion Calculations'!$C15-'Mass Ion Calculations'!$D$5,'Mass Ion Calculations'!$F$18+'AA Exact Masses'!$Q$2-'Mass Ion Calculations'!$E$25-'Mass Ion Calculations'!$E16-'Mass Ion Calculations'!$D$5),IF('Mass Ion Calculations'!$D$7="Yes", 'Mass Ion Calculations'!$D$15+'AA Exact Masses'!$Q$2-'Mass Ion Calculations'!$C$25-'Mass Ion Calculations'!$C15-'Mass Ion Calculations'!$D$5,'Mass Ion Calculations'!$F$15+'AA Exact Masses'!$Q$2-'Mass Ion Calculations'!$E$25-'Mass Ion Calculations'!$E16-'Mass Ion Calculations'!$D$5)))</f>
        <v/>
      </c>
      <c r="X14" s="3" t="str">
        <f>IF(OR($B14="",X$3=""),"",IF('Mass Ion Calculations'!$D$6="Yes",IF('Mass Ion Calculations'!$D$7="Yes",'Mass Ion Calculations'!$D$18+'AA Exact Masses'!$Q$2-'Mass Ion Calculations'!$C$26-'Mass Ion Calculations'!$C15-'Mass Ion Calculations'!$D$5,'Mass Ion Calculations'!$F$18+'AA Exact Masses'!$Q$2-'Mass Ion Calculations'!$E$26-'Mass Ion Calculations'!$E16-'Mass Ion Calculations'!$D$5),IF('Mass Ion Calculations'!$D$7="Yes", 'Mass Ion Calculations'!$D$15+'AA Exact Masses'!$Q$2-'Mass Ion Calculations'!$C$26-'Mass Ion Calculations'!$C15-'Mass Ion Calculations'!$D$5,'Mass Ion Calculations'!$F$15+'AA Exact Masses'!$Q$2-'Mass Ion Calculations'!$E$26-'Mass Ion Calculations'!$E16-'Mass Ion Calculations'!$D$5)))</f>
        <v/>
      </c>
      <c r="Y14" s="3" t="str">
        <f>IF(OR($B14="",Y$3=""),"",IF('Mass Ion Calculations'!$D$6="Yes",IF('Mass Ion Calculations'!$D$7="Yes",'Mass Ion Calculations'!$D$18+'AA Exact Masses'!$Q$2-'Mass Ion Calculations'!$C$27-'Mass Ion Calculations'!$C15-'Mass Ion Calculations'!$D$5,'Mass Ion Calculations'!$F$18+'AA Exact Masses'!$Q$2-'Mass Ion Calculations'!$E$27-'Mass Ion Calculations'!$E16-'Mass Ion Calculations'!$D$5),IF('Mass Ion Calculations'!$D$7="Yes", 'Mass Ion Calculations'!$D$15+'AA Exact Masses'!$Q$2-'Mass Ion Calculations'!$C$27-'Mass Ion Calculations'!$C15-'Mass Ion Calculations'!$D$5,'Mass Ion Calculations'!$F$15+'AA Exact Masses'!$Q$2-'Mass Ion Calculations'!$E$27-'Mass Ion Calculations'!$E16-'Mass Ion Calculations'!$D$5)))</f>
        <v/>
      </c>
      <c r="Z14" s="3" t="str">
        <f>IF(OR($B14="",Z$3=""),"",IF('Mass Ion Calculations'!$D$6="Yes",IF('Mass Ion Calculations'!$D$7="Yes",'Mass Ion Calculations'!$D$18+'AA Exact Masses'!$Q$2-'Mass Ion Calculations'!$C$28-'Mass Ion Calculations'!$C15-'Mass Ion Calculations'!$D$5,'Mass Ion Calculations'!$F$18+'AA Exact Masses'!$Q$2-'Mass Ion Calculations'!$E$2-'Mass Ion Calculations'!$E16-'Mass Ion Calculations'!$D$5),IF('Mass Ion Calculations'!$D$7="Yes", 'Mass Ion Calculations'!$D$15+'AA Exact Masses'!$Q$2-'Mass Ion Calculations'!$C$28-'Mass Ion Calculations'!$C15-'Mass Ion Calculations'!$D$5,'Mass Ion Calculations'!$F$15+'AA Exact Masses'!$Q$2-'Mass Ion Calculations'!$E$2-'Mass Ion Calculations'!$E16-'Mass Ion Calculations'!$D$5)))</f>
        <v/>
      </c>
    </row>
    <row r="15" spans="2:26" x14ac:dyDescent="0.25">
      <c r="B15" s="4" t="str">
        <f>IF('Mass Ion Calculations'!B16="","",'Mass Ion Calculations'!B16)</f>
        <v>Ala</v>
      </c>
      <c r="C15" s="3">
        <f>IF(OR($B15="",C$3=""),"",IF('Mass Ion Calculations'!$D$6="Yes",IF('Mass Ion Calculations'!$D$7="Yes",'Mass Ion Calculations'!$D$18+'AA Exact Masses'!$Q$2-'Mass Ion Calculations'!$C$5-'Mass Ion Calculations'!$C16-'Mass Ion Calculations'!$D$5,'Mass Ion Calculations'!$F$18+'AA Exact Masses'!$Q$2-'Mass Ion Calculations'!$E$5-'Mass Ion Calculations'!E16-'Mass Ion Calculations'!$D$5),IF('Mass Ion Calculations'!$D$7="Yes", 'Mass Ion Calculations'!$D$15+'AA Exact Masses'!$Q$2-'Mass Ion Calculations'!$C$5-'Mass Ion Calculations'!$C16-'Mass Ion Calculations'!$D$5,'Mass Ion Calculations'!$F$15+'AA Exact Masses'!$Q$2-'Mass Ion Calculations'!$E$5-'Mass Ion Calculations'!E16-'Mass Ion Calculations'!$D$5)))</f>
        <v>438.81673999999998</v>
      </c>
      <c r="D15" s="3">
        <f>IF(OR($B15="",D$3=""),"",IF('Mass Ion Calculations'!$D$6="Yes",IF('Mass Ion Calculations'!$D$7="Yes",'Mass Ion Calculations'!$D$18+'AA Exact Masses'!$Q$2-'Mass Ion Calculations'!$C$6-'Mass Ion Calculations'!$C16-'Mass Ion Calculations'!$D$5,'Mass Ion Calculations'!$F$18+'AA Exact Masses'!$Q$2-'Mass Ion Calculations'!$E$6-'Mass Ion Calculations'!E16-'Mass Ion Calculations'!$D$5),IF('Mass Ion Calculations'!$D$7="Yes", 'Mass Ion Calculations'!$D$15+'AA Exact Masses'!$Q$2-'Mass Ion Calculations'!$C$6-'Mass Ion Calculations'!$C16-'Mass Ion Calculations'!$D$5,'Mass Ion Calculations'!$F$15+'AA Exact Masses'!$Q$2-'Mass Ion Calculations'!$E$6-'Mass Ion Calculations'!E16-'Mass Ion Calculations'!$D$5)))</f>
        <v>481.85895000000005</v>
      </c>
      <c r="E15" s="3">
        <f>IF(OR($B15="",E$3=""),"",IF('Mass Ion Calculations'!$D$6="Yes",IF('Mass Ion Calculations'!$D$7="Yes",'Mass Ion Calculations'!$D$18+'AA Exact Masses'!$Q$2-'Mass Ion Calculations'!$C$7-'Mass Ion Calculations'!$C16-'Mass Ion Calculations'!$D$5,'Mass Ion Calculations'!$F$18+'AA Exact Masses'!$Q$2-'Mass Ion Calculations'!$E$7-'Mass Ion Calculations'!$E16-'Mass Ion Calculations'!$D$5),IF('Mass Ion Calculations'!$D$7="Yes", 'Mass Ion Calculations'!$D$15+'AA Exact Masses'!$Q$2-'Mass Ion Calculations'!$C$7-'Mass Ion Calculations'!$C16-'Mass Ion Calculations'!$D$5,'Mass Ion Calculations'!$F$15+'AA Exact Masses'!$Q$2-'Mass Ion Calculations'!$E$7-'Mass Ion Calculations'!$E16-'Mass Ion Calculations'!$D$5)))</f>
        <v>439.81200000000013</v>
      </c>
      <c r="F15" s="3">
        <f>IF(OR($B15="",F$3=""),"",IF('Mass Ion Calculations'!$D$6="Yes",IF('Mass Ion Calculations'!$D$7="Yes",'Mass Ion Calculations'!$D$18+'AA Exact Masses'!$Q$2-'Mass Ion Calculations'!$C$8-'Mass Ion Calculations'!$C16-'Mass Ion Calculations'!$D$5,'Mass Ion Calculations'!$F$18+'AA Exact Masses'!$Q$2-'Mass Ion Calculations'!$E$8-'Mass Ion Calculations'!$E16-'Mass Ion Calculations'!$D$5),IF('Mass Ion Calculations'!$D$7="Yes", 'Mass Ion Calculations'!$D$15+'AA Exact Masses'!$Q$2-'Mass Ion Calculations'!$C$8-'Mass Ion Calculations'!$C16-'Mass Ion Calculations'!$D$5,'Mass Ion Calculations'!$F$15+'AA Exact Masses'!$Q$2-'Mass Ion Calculations'!$E$8-'Mass Ion Calculations'!$E16-'Mass Ion Calculations'!$D$5)))</f>
        <v>439.81200000000013</v>
      </c>
      <c r="G15" s="3">
        <f>IF(OR($B15="",G$3=""),"",IF('Mass Ion Calculations'!$D$6="Yes",IF('Mass Ion Calculations'!$D$7="Yes",'Mass Ion Calculations'!$D$18+'AA Exact Masses'!$Q$2-'Mass Ion Calculations'!$C$9-'Mass Ion Calculations'!$C16-'Mass Ion Calculations'!$D$5,'Mass Ion Calculations'!$F$18+'AA Exact Masses'!$Q$2-'Mass Ion Calculations'!$E$9-'Mass Ion Calculations'!$E16-'Mass Ion Calculations'!$D$5),IF('Mass Ion Calculations'!$D$7="Yes", 'Mass Ion Calculations'!$D$15+'AA Exact Masses'!$Q$2-'Mass Ion Calculations'!$C$9-'Mass Ion Calculations'!$C16-'Mass Ion Calculations'!$D$5,'Mass Ion Calculations'!$F$15+'AA Exact Masses'!$Q$2-'Mass Ion Calculations'!$E$9-'Mass Ion Calculations'!$E16-'Mass Ion Calculations'!$D$5)))</f>
        <v>481.85895000000005</v>
      </c>
      <c r="H15" s="3">
        <f>IF(OR($B15="",H$3=""),"",IF('Mass Ion Calculations'!$D$6="Yes",IF('Mass Ion Calculations'!$D$7="Yes",'Mass Ion Calculations'!$D$18+'AA Exact Masses'!$Q$2-'Mass Ion Calculations'!$C$10-'Mass Ion Calculations'!$C16-'Mass Ion Calculations'!$D$5,'Mass Ion Calculations'!$F$18+'AA Exact Masses'!$Q$2-'Mass Ion Calculations'!$E$10-'Mass Ion Calculations'!$E16-'Mass Ion Calculations'!$D$5),IF('Mass Ion Calculations'!$D$7="Yes", 'Mass Ion Calculations'!$D$15+'AA Exact Masses'!$Q$2-'Mass Ion Calculations'!$C$10-'Mass Ion Calculations'!$C16-'Mass Ion Calculations'!$D$5,'Mass Ion Calculations'!$F$15+'AA Exact Masses'!$Q$2-'Mass Ion Calculations'!$E$10-'Mass Ion Calculations'!$E16-'Mass Ion Calculations'!$D$5)))</f>
        <v>439.81200000000013</v>
      </c>
      <c r="I15" s="3">
        <f>IF(OR($B15="",I$3=""),"",IF('Mass Ion Calculations'!$D$6="Yes",IF('Mass Ion Calculations'!$D$7="Yes",'Mass Ion Calculations'!$D$18+'AA Exact Masses'!$Q$2-'Mass Ion Calculations'!$C$11-'Mass Ion Calculations'!$C16-'Mass Ion Calculations'!$D$5,'Mass Ion Calculations'!$F$18+'AA Exact Masses'!$Q$2-'Mass Ion Calculations'!$E$11-'Mass Ion Calculations'!$E16-'Mass Ion Calculations'!$D$5),IF('Mass Ion Calculations'!$D$7="Yes", 'Mass Ion Calculations'!$D$15+'AA Exact Masses'!$Q$2-'Mass Ion Calculations'!$C$11-'Mass Ion Calculations'!$C16-'Mass Ion Calculations'!$D$5,'Mass Ion Calculations'!$F$15+'AA Exact Masses'!$Q$2-'Mass Ion Calculations'!$E$11-'Mass Ion Calculations'!$E16-'Mass Ion Calculations'!$D$5)))</f>
        <v>438.81673999999998</v>
      </c>
      <c r="J15" s="3">
        <f>IF(OR($B15="",J$3=""),"",IF('Mass Ion Calculations'!$D$6="Yes",IF('Mass Ion Calculations'!$D$7="Yes",'Mass Ion Calculations'!$D$18+'AA Exact Masses'!$Q$2-'Mass Ion Calculations'!$C$12-'Mass Ion Calculations'!$C16-'Mass Ion Calculations'!$D$5,'Mass Ion Calculations'!$F$18+'AA Exact Masses'!$Q$2-'Mass Ion Calculations'!$E$12-'Mass Ion Calculations'!$E16-'Mass Ion Calculations'!$D$5),IF('Mass Ion Calculations'!$D$7="Yes", 'Mass Ion Calculations'!$D$15+'AA Exact Masses'!$Q$2-'Mass Ion Calculations'!$C$12-'Mass Ion Calculations'!$C16-'Mass Ion Calculations'!$D$5,'Mass Ion Calculations'!$F$15+'AA Exact Masses'!$Q$2-'Mass Ion Calculations'!$E$12-'Mass Ion Calculations'!$E16-'Mass Ion Calculations'!$D$5)))</f>
        <v>453.82764999999995</v>
      </c>
      <c r="K15" s="3">
        <f>IF(OR($B15="",K$3=""),"",IF('Mass Ion Calculations'!$D$6="Yes",IF('Mass Ion Calculations'!$D$7="Yes",'Mass Ion Calculations'!$D$18+'AA Exact Masses'!$Q$2-'Mass Ion Calculations'!$C$13-'Mass Ion Calculations'!$C16-'Mass Ion Calculations'!$D$5,'Mass Ion Calculations'!$F$18+'AA Exact Masses'!$Q$2-'Mass Ion Calculations'!$E$14-'Mass Ion Calculations'!$E16-'Mass Ion Calculations'!$D$5),IF('Mass Ion Calculations'!$D$7="Yes", 'Mass Ion Calculations'!$D$15+'AA Exact Masses'!$Q$2-'Mass Ion Calculations'!$C$13-'Mass Ion Calculations'!$C16-'Mass Ion Calculations'!$D$5,'Mass Ion Calculations'!$F$15+'AA Exact Masses'!$Q$2-'Mass Ion Calculations'!$E$14-'Mass Ion Calculations'!$E16-'Mass Ion Calculations'!$D$5)))</f>
        <v>423.85347000000002</v>
      </c>
      <c r="L15" s="3">
        <f>IF(OR($B15="",L$3=""),"",IF('Mass Ion Calculations'!$D$6="Yes",IF('Mass Ion Calculations'!$D$7="Yes",'Mass Ion Calculations'!$D$18+'AA Exact Masses'!$Q$2-'Mass Ion Calculations'!$C$14-'Mass Ion Calculations'!$C16-'Mass Ion Calculations'!$D$5,'Mass Ion Calculations'!$F$18+'AA Exact Masses'!$Q$2-'Mass Ion Calculations'!$E$15-'Mass Ion Calculations'!$E16-'Mass Ion Calculations'!$D$5),IF('Mass Ion Calculations'!$D$7="Yes", 'Mass Ion Calculations'!$D$15+'AA Exact Masses'!$Q$2-'Mass Ion Calculations'!$C$14-'Mass Ion Calculations'!$C16-'Mass Ion Calculations'!$D$5,'Mass Ion Calculations'!$F$15+'AA Exact Masses'!$Q$2-'Mass Ion Calculations'!$E$15-'Mass Ion Calculations'!$E16-'Mass Ion Calculations'!$D$5)))</f>
        <v>437.86912000000007</v>
      </c>
      <c r="M15" s="3">
        <f>IF(OR($B15="",M$3=""),"",IF('Mass Ion Calculations'!$D$6="Yes",IF('Mass Ion Calculations'!$D$7="Yes",'Mass Ion Calculations'!$D$18+'AA Exact Masses'!$Q$2-'Mass Ion Calculations'!$C$15-'Mass Ion Calculations'!$C16-'Mass Ion Calculations'!$D$5,'Mass Ion Calculations'!$F$18+'AA Exact Masses'!$Q$2-'Mass Ion Calculations'!$E$16-'Mass Ion Calculations'!$E16-'Mass Ion Calculations'!$D$5),IF('Mass Ion Calculations'!$D$7="Yes", 'Mass Ion Calculations'!$D$15+'AA Exact Masses'!$Q$2-'Mass Ion Calculations'!$C$15-'Mass Ion Calculations'!$C16-'Mass Ion Calculations'!$D$5,'Mass Ion Calculations'!$F$15+'AA Exact Masses'!$Q$2-'Mass Ion Calculations'!$E$16-'Mass Ion Calculations'!$E16-'Mass Ion Calculations'!$D$5)))</f>
        <v>481.85895000000005</v>
      </c>
      <c r="N15" s="3">
        <f>IF(OR($B15="",N$3=""),"",IF('Mass Ion Calculations'!$D$6="Yes",IF('Mass Ion Calculations'!$D$7="Yes",'Mass Ion Calculations'!$D$18+'AA Exact Masses'!$Q$2-'Mass Ion Calculations'!$C$16-'Mass Ion Calculations'!$C16-'Mass Ion Calculations'!$D$5,'Mass Ion Calculations'!$F$18+'AA Exact Masses'!$Q$2-'Mass Ion Calculations'!$E$17-'Mass Ion Calculations'!$E16-'Mass Ion Calculations'!$D$5),IF('Mass Ion Calculations'!$D$7="Yes", 'Mass Ion Calculations'!$D$15+'AA Exact Masses'!$Q$2-'Mass Ion Calculations'!$C$16-'Mass Ion Calculations'!$C16-'Mass Ion Calculations'!$D$5,'Mass Ion Calculations'!$F$15+'AA Exact Masses'!$Q$2-'Mass Ion Calculations'!$E$17-'Mass Ion Calculations'!$E16-'Mass Ion Calculations'!$D$5)))</f>
        <v>405.82764999999995</v>
      </c>
      <c r="O15" s="3">
        <f>IF(OR($B15="",O$3=""),"",IF('Mass Ion Calculations'!$D$6="Yes",IF('Mass Ion Calculations'!$D$7="Yes",'Mass Ion Calculations'!$D$18+'AA Exact Masses'!$Q$2-'Mass Ion Calculations'!$C$17-'Mass Ion Calculations'!$C16-'Mass Ion Calculations'!$D$5,'Mass Ion Calculations'!$F$18+'AA Exact Masses'!$Q$2-'Mass Ion Calculations'!$E$18-'Mass Ion Calculations'!$E16-'Mass Ion Calculations'!$D$5),IF('Mass Ion Calculations'!$D$7="Yes", 'Mass Ion Calculations'!$D$15+'AA Exact Masses'!$Q$2-'Mass Ion Calculations'!$C$17-'Mass Ion Calculations'!$C16-'Mass Ion Calculations'!$D$5,'Mass Ion Calculations'!$F$15+'AA Exact Masses'!$Q$2-'Mass Ion Calculations'!$E$18-'Mass Ion Calculations'!$E16-'Mass Ion Calculations'!$D$5)))</f>
        <v>279.93100000000004</v>
      </c>
      <c r="P15" s="3">
        <f>IF(OR($B15="",P$3=""),"",IF('Mass Ion Calculations'!$D$6="Yes",IF('Mass Ion Calculations'!$D$7="Yes",'Mass Ion Calculations'!$D$18+'AA Exact Masses'!$Q$2-'Mass Ion Calculations'!$C$19-'Mass Ion Calculations'!$C16-'Mass Ion Calculations'!$D$5,'Mass Ion Calculations'!$F$18+'AA Exact Masses'!$Q$2-'Mass Ion Calculations'!$E$19-'Mass Ion Calculations'!$E16-'Mass Ion Calculations'!$D$5),IF('Mass Ion Calculations'!$D$7="Yes", 'Mass Ion Calculations'!$D$15+'AA Exact Masses'!$Q$2-'Mass Ion Calculations'!$C$19-'Mass Ion Calculations'!$C16-'Mass Ion Calculations'!$D$5,'Mass Ion Calculations'!$F$15+'AA Exact Masses'!$Q$2-'Mass Ion Calculations'!$E$19-'Mass Ion Calculations'!$E16-'Mass Ion Calculations'!$D$5)))</f>
        <v>453.82764999999995</v>
      </c>
      <c r="Q15" s="3">
        <f>IF(OR($B15="",Q$3=""),"",IF('Mass Ion Calculations'!$D$6="Yes",IF('Mass Ion Calculations'!$D$7="Yes",'Mass Ion Calculations'!$D$18+'AA Exact Masses'!$Q$2-'Mass Ion Calculations'!$C$20-'Mass Ion Calculations'!$C16-'Mass Ion Calculations'!$D$5,'Mass Ion Calculations'!$F$18+'AA Exact Masses'!$Q$2-'Mass Ion Calculations'!$E$20-'Mass Ion Calculations'!$E16-'Mass Ion Calculations'!$D$5),IF('Mass Ion Calculations'!$D$7="Yes", 'Mass Ion Calculations'!$D$15+'AA Exact Masses'!$Q$2-'Mass Ion Calculations'!$C$20-'Mass Ion Calculations'!$C16-'Mass Ion Calculations'!$D$5,'Mass Ion Calculations'!$F$15+'AA Exact Masses'!$Q$2-'Mass Ion Calculations'!$E$20-'Mass Ion Calculations'!$E16-'Mass Ion Calculations'!$D$5)))</f>
        <v>439.81200000000013</v>
      </c>
      <c r="R15" s="3" t="e">
        <f>IF(OR($B15="",R$3=""),"",IF('Mass Ion Calculations'!$D$6="Yes",IF('Mass Ion Calculations'!$D$7="Yes",'Mass Ion Calculations'!$D$18+'AA Exact Masses'!$Q$2-'Mass Ion Calculations'!$C$21-'Mass Ion Calculations'!$C16-'Mass Ion Calculations'!$D$5,'Mass Ion Calculations'!$F$18+'AA Exact Masses'!$Q$2-'Mass Ion Calculations'!$E$21-'Mass Ion Calculations'!$E16-'Mass Ion Calculations'!$D$5),IF('Mass Ion Calculations'!$D$7="Yes", 'Mass Ion Calculations'!$D$15+'AA Exact Masses'!$Q$2-'Mass Ion Calculations'!$C$21-'Mass Ion Calculations'!$C16-'Mass Ion Calculations'!$D$5,'Mass Ion Calculations'!$F$15+'AA Exact Masses'!$Q$2-'Mass Ion Calculations'!$E$21-'Mass Ion Calculations'!$E16-'Mass Ion Calculations'!$D$5)))</f>
        <v>#VALUE!</v>
      </c>
      <c r="S15" s="3" t="str">
        <f>IF(OR($B15="",S$3=""),"",IF('Mass Ion Calculations'!$D$6="Yes",IF('Mass Ion Calculations'!$D$7="Yes",'Mass Ion Calculations'!$D$18+'AA Exact Masses'!$Q$2-'Mass Ion Calculations'!$C$21-'Mass Ion Calculations'!$C16-'Mass Ion Calculations'!$D$5,'Mass Ion Calculations'!$F$18+'AA Exact Masses'!$Q$2-'Mass Ion Calculations'!$E$21-'Mass Ion Calculations'!$E17-'Mass Ion Calculations'!$D$5),IF('Mass Ion Calculations'!$D$7="Yes", 'Mass Ion Calculations'!$D$15+'AA Exact Masses'!$Q$2-'Mass Ion Calculations'!$C$21-'Mass Ion Calculations'!$C16-'Mass Ion Calculations'!$D$5,'Mass Ion Calculations'!$F$15+'AA Exact Masses'!$Q$2-'Mass Ion Calculations'!$E$21-'Mass Ion Calculations'!$E17-'Mass Ion Calculations'!$D$5)))</f>
        <v/>
      </c>
      <c r="T15" s="3" t="e">
        <f>IF(OR($B15="",T$3=""),"",IF('Mass Ion Calculations'!$D$6="Yes",IF('Mass Ion Calculations'!$D$7="Yes",'Mass Ion Calculations'!$D$18+'AA Exact Masses'!$Q$2-'Mass Ion Calculations'!$C$22-'Mass Ion Calculations'!$C16-'Mass Ion Calculations'!$D$5,'Mass Ion Calculations'!$F$18+'AA Exact Masses'!$Q$2-'Mass Ion Calculations'!$E$22-'Mass Ion Calculations'!$E17-'Mass Ion Calculations'!$D$5),IF('Mass Ion Calculations'!$D$7="Yes", 'Mass Ion Calculations'!$D$15+'AA Exact Masses'!$Q$2-'Mass Ion Calculations'!$C$22-'Mass Ion Calculations'!$C16-'Mass Ion Calculations'!$D$5,'Mass Ion Calculations'!$F$15+'AA Exact Masses'!$Q$2-'Mass Ion Calculations'!$E$22-'Mass Ion Calculations'!$E17-'Mass Ion Calculations'!$D$5)))</f>
        <v>#VALUE!</v>
      </c>
      <c r="U15" s="3" t="e">
        <f>IF(OR($B15="",U$3=""),"",IF('Mass Ion Calculations'!$D$6="Yes",IF('Mass Ion Calculations'!$D$7="Yes",'Mass Ion Calculations'!$D$18+'AA Exact Masses'!$Q$2-'Mass Ion Calculations'!$C$23-'Mass Ion Calculations'!$C16-'Mass Ion Calculations'!$D$5,'Mass Ion Calculations'!$F$18+'AA Exact Masses'!$Q$2-'Mass Ion Calculations'!$E$23-'Mass Ion Calculations'!$E17-'Mass Ion Calculations'!$D$5),IF('Mass Ion Calculations'!$D$7="Yes", 'Mass Ion Calculations'!$D$15+'AA Exact Masses'!$Q$2-'Mass Ion Calculations'!$C$23-'Mass Ion Calculations'!$C16-'Mass Ion Calculations'!$D$5,'Mass Ion Calculations'!$F$15+'AA Exact Masses'!$Q$2-'Mass Ion Calculations'!$E$23-'Mass Ion Calculations'!$E17-'Mass Ion Calculations'!$D$5)))</f>
        <v>#VALUE!</v>
      </c>
      <c r="V15" s="3" t="str">
        <f>IF(OR($B15="",V$3=""),"",IF('Mass Ion Calculations'!$D$6="Yes",IF('Mass Ion Calculations'!$D$7="Yes",'Mass Ion Calculations'!$D$18+'AA Exact Masses'!$Q$2-'Mass Ion Calculations'!$C$24-'Mass Ion Calculations'!$C16-'Mass Ion Calculations'!$D$5,'Mass Ion Calculations'!$F$18+'AA Exact Masses'!$Q$2-'Mass Ion Calculations'!$E$24-'Mass Ion Calculations'!$E17-'Mass Ion Calculations'!$D$5),IF('Mass Ion Calculations'!$D$7="Yes", 'Mass Ion Calculations'!$D$15+'AA Exact Masses'!$Q$2-'Mass Ion Calculations'!$C$24-'Mass Ion Calculations'!$C16-'Mass Ion Calculations'!$D$5,'Mass Ion Calculations'!$F$15+'AA Exact Masses'!$Q$2-'Mass Ion Calculations'!$E$24-'Mass Ion Calculations'!$E17-'Mass Ion Calculations'!$D$5)))</f>
        <v/>
      </c>
      <c r="W15" s="3" t="str">
        <f>IF(OR($B15="",W$3=""),"",IF('Mass Ion Calculations'!$D$6="Yes",IF('Mass Ion Calculations'!$D$7="Yes",'Mass Ion Calculations'!$D$18+'AA Exact Masses'!$Q$2-'Mass Ion Calculations'!$C$25-'Mass Ion Calculations'!$C16-'Mass Ion Calculations'!$D$5,'Mass Ion Calculations'!$F$18+'AA Exact Masses'!$Q$2-'Mass Ion Calculations'!$E$25-'Mass Ion Calculations'!$E17-'Mass Ion Calculations'!$D$5),IF('Mass Ion Calculations'!$D$7="Yes", 'Mass Ion Calculations'!$D$15+'AA Exact Masses'!$Q$2-'Mass Ion Calculations'!$C$25-'Mass Ion Calculations'!$C16-'Mass Ion Calculations'!$D$5,'Mass Ion Calculations'!$F$15+'AA Exact Masses'!$Q$2-'Mass Ion Calculations'!$E$25-'Mass Ion Calculations'!$E17-'Mass Ion Calculations'!$D$5)))</f>
        <v/>
      </c>
      <c r="X15" s="3" t="str">
        <f>IF(OR($B15="",X$3=""),"",IF('Mass Ion Calculations'!$D$6="Yes",IF('Mass Ion Calculations'!$D$7="Yes",'Mass Ion Calculations'!$D$18+'AA Exact Masses'!$Q$2-'Mass Ion Calculations'!$C$26-'Mass Ion Calculations'!$C16-'Mass Ion Calculations'!$D$5,'Mass Ion Calculations'!$F$18+'AA Exact Masses'!$Q$2-'Mass Ion Calculations'!$E$26-'Mass Ion Calculations'!$E17-'Mass Ion Calculations'!$D$5),IF('Mass Ion Calculations'!$D$7="Yes", 'Mass Ion Calculations'!$D$15+'AA Exact Masses'!$Q$2-'Mass Ion Calculations'!$C$26-'Mass Ion Calculations'!$C16-'Mass Ion Calculations'!$D$5,'Mass Ion Calculations'!$F$15+'AA Exact Masses'!$Q$2-'Mass Ion Calculations'!$E$26-'Mass Ion Calculations'!$E17-'Mass Ion Calculations'!$D$5)))</f>
        <v/>
      </c>
      <c r="Y15" s="3" t="str">
        <f>IF(OR($B15="",Y$3=""),"",IF('Mass Ion Calculations'!$D$6="Yes",IF('Mass Ion Calculations'!$D$7="Yes",'Mass Ion Calculations'!$D$18+'AA Exact Masses'!$Q$2-'Mass Ion Calculations'!$C$27-'Mass Ion Calculations'!$C16-'Mass Ion Calculations'!$D$5,'Mass Ion Calculations'!$F$18+'AA Exact Masses'!$Q$2-'Mass Ion Calculations'!$E$27-'Mass Ion Calculations'!$E17-'Mass Ion Calculations'!$D$5),IF('Mass Ion Calculations'!$D$7="Yes", 'Mass Ion Calculations'!$D$15+'AA Exact Masses'!$Q$2-'Mass Ion Calculations'!$C$27-'Mass Ion Calculations'!$C16-'Mass Ion Calculations'!$D$5,'Mass Ion Calculations'!$F$15+'AA Exact Masses'!$Q$2-'Mass Ion Calculations'!$E$27-'Mass Ion Calculations'!$E17-'Mass Ion Calculations'!$D$5)))</f>
        <v/>
      </c>
      <c r="Z15" s="3" t="str">
        <f>IF(OR($B15="",Z$3=""),"",IF('Mass Ion Calculations'!$D$6="Yes",IF('Mass Ion Calculations'!$D$7="Yes",'Mass Ion Calculations'!$D$18+'AA Exact Masses'!$Q$2-'Mass Ion Calculations'!$C$28-'Mass Ion Calculations'!$C16-'Mass Ion Calculations'!$D$5,'Mass Ion Calculations'!$F$18+'AA Exact Masses'!$Q$2-'Mass Ion Calculations'!$E$2-'Mass Ion Calculations'!$E17-'Mass Ion Calculations'!$D$5),IF('Mass Ion Calculations'!$D$7="Yes", 'Mass Ion Calculations'!$D$15+'AA Exact Masses'!$Q$2-'Mass Ion Calculations'!$C$28-'Mass Ion Calculations'!$C16-'Mass Ion Calculations'!$D$5,'Mass Ion Calculations'!$F$15+'AA Exact Masses'!$Q$2-'Mass Ion Calculations'!$E$2-'Mass Ion Calculations'!$E17-'Mass Ion Calculations'!$D$5)))</f>
        <v/>
      </c>
    </row>
    <row r="16" spans="2:26" x14ac:dyDescent="0.25">
      <c r="B16" s="4" t="str">
        <f>IF('Mass Ion Calculations'!B17="","",'Mass Ion Calculations'!B17)</f>
        <v>Phe</v>
      </c>
      <c r="C16" s="3">
        <f>IF(OR($B16="",C$3=""),"",IF('Mass Ion Calculations'!$D$6="Yes",IF('Mass Ion Calculations'!$D$7="Yes",'Mass Ion Calculations'!$D$18+'AA Exact Masses'!$Q$2-'Mass Ion Calculations'!$C$5-'Mass Ion Calculations'!$C17-'Mass Ion Calculations'!$D$5,'Mass Ion Calculations'!$F$18+'AA Exact Masses'!$Q$2-'Mass Ion Calculations'!$E$5-'Mass Ion Calculations'!E17-'Mass Ion Calculations'!$D$5),IF('Mass Ion Calculations'!$D$7="Yes", 'Mass Ion Calculations'!$D$15+'AA Exact Masses'!$Q$2-'Mass Ion Calculations'!$C$5-'Mass Ion Calculations'!$C17-'Mass Ion Calculations'!$D$5,'Mass Ion Calculations'!$F$15+'AA Exact Masses'!$Q$2-'Mass Ion Calculations'!$E$5-'Mass Ion Calculations'!E17-'Mass Ion Calculations'!$D$5)))</f>
        <v>362.78543999999988</v>
      </c>
      <c r="D16" s="3">
        <f>IF(OR($B16="",D$3=""),"",IF('Mass Ion Calculations'!$D$6="Yes",IF('Mass Ion Calculations'!$D$7="Yes",'Mass Ion Calculations'!$D$18+'AA Exact Masses'!$Q$2-'Mass Ion Calculations'!$C$6-'Mass Ion Calculations'!$C17-'Mass Ion Calculations'!$D$5,'Mass Ion Calculations'!$F$18+'AA Exact Masses'!$Q$2-'Mass Ion Calculations'!$E$6-'Mass Ion Calculations'!E17-'Mass Ion Calculations'!$D$5),IF('Mass Ion Calculations'!$D$7="Yes", 'Mass Ion Calculations'!$D$15+'AA Exact Masses'!$Q$2-'Mass Ion Calculations'!$C$6-'Mass Ion Calculations'!$C17-'Mass Ion Calculations'!$D$5,'Mass Ion Calculations'!$F$15+'AA Exact Masses'!$Q$2-'Mass Ion Calculations'!$E$6-'Mass Ion Calculations'!E17-'Mass Ion Calculations'!$D$5)))</f>
        <v>405.82764999999995</v>
      </c>
      <c r="E16" s="3">
        <f>IF(OR($B16="",E$3=""),"",IF('Mass Ion Calculations'!$D$6="Yes",IF('Mass Ion Calculations'!$D$7="Yes",'Mass Ion Calculations'!$D$18+'AA Exact Masses'!$Q$2-'Mass Ion Calculations'!$C$7-'Mass Ion Calculations'!$C17-'Mass Ion Calculations'!$D$5,'Mass Ion Calculations'!$F$18+'AA Exact Masses'!$Q$2-'Mass Ion Calculations'!$E$7-'Mass Ion Calculations'!$E17-'Mass Ion Calculations'!$D$5),IF('Mass Ion Calculations'!$D$7="Yes", 'Mass Ion Calculations'!$D$15+'AA Exact Masses'!$Q$2-'Mass Ion Calculations'!$C$7-'Mass Ion Calculations'!$C17-'Mass Ion Calculations'!$D$5,'Mass Ion Calculations'!$F$15+'AA Exact Masses'!$Q$2-'Mass Ion Calculations'!$E$7-'Mass Ion Calculations'!$E17-'Mass Ion Calculations'!$D$5)))</f>
        <v>363.78070000000002</v>
      </c>
      <c r="F16" s="3">
        <f>IF(OR($B16="",F$3=""),"",IF('Mass Ion Calculations'!$D$6="Yes",IF('Mass Ion Calculations'!$D$7="Yes",'Mass Ion Calculations'!$D$18+'AA Exact Masses'!$Q$2-'Mass Ion Calculations'!$C$8-'Mass Ion Calculations'!$C17-'Mass Ion Calculations'!$D$5,'Mass Ion Calculations'!$F$18+'AA Exact Masses'!$Q$2-'Mass Ion Calculations'!$E$8-'Mass Ion Calculations'!$E17-'Mass Ion Calculations'!$D$5),IF('Mass Ion Calculations'!$D$7="Yes", 'Mass Ion Calculations'!$D$15+'AA Exact Masses'!$Q$2-'Mass Ion Calculations'!$C$8-'Mass Ion Calculations'!$C17-'Mass Ion Calculations'!$D$5,'Mass Ion Calculations'!$F$15+'AA Exact Masses'!$Q$2-'Mass Ion Calculations'!$E$8-'Mass Ion Calculations'!$E17-'Mass Ion Calculations'!$D$5)))</f>
        <v>363.78070000000002</v>
      </c>
      <c r="G16" s="3">
        <f>IF(OR($B16="",G$3=""),"",IF('Mass Ion Calculations'!$D$6="Yes",IF('Mass Ion Calculations'!$D$7="Yes",'Mass Ion Calculations'!$D$18+'AA Exact Masses'!$Q$2-'Mass Ion Calculations'!$C$9-'Mass Ion Calculations'!$C17-'Mass Ion Calculations'!$D$5,'Mass Ion Calculations'!$F$18+'AA Exact Masses'!$Q$2-'Mass Ion Calculations'!$E$9-'Mass Ion Calculations'!$E17-'Mass Ion Calculations'!$D$5),IF('Mass Ion Calculations'!$D$7="Yes", 'Mass Ion Calculations'!$D$15+'AA Exact Masses'!$Q$2-'Mass Ion Calculations'!$C$9-'Mass Ion Calculations'!$C17-'Mass Ion Calculations'!$D$5,'Mass Ion Calculations'!$F$15+'AA Exact Masses'!$Q$2-'Mass Ion Calculations'!$E$9-'Mass Ion Calculations'!$E17-'Mass Ion Calculations'!$D$5)))</f>
        <v>405.82764999999995</v>
      </c>
      <c r="H16" s="3">
        <f>IF(OR($B16="",H$3=""),"",IF('Mass Ion Calculations'!$D$6="Yes",IF('Mass Ion Calculations'!$D$7="Yes",'Mass Ion Calculations'!$D$18+'AA Exact Masses'!$Q$2-'Mass Ion Calculations'!$C$10-'Mass Ion Calculations'!$C17-'Mass Ion Calculations'!$D$5,'Mass Ion Calculations'!$F$18+'AA Exact Masses'!$Q$2-'Mass Ion Calculations'!$E$10-'Mass Ion Calculations'!$E17-'Mass Ion Calculations'!$D$5),IF('Mass Ion Calculations'!$D$7="Yes", 'Mass Ion Calculations'!$D$15+'AA Exact Masses'!$Q$2-'Mass Ion Calculations'!$C$10-'Mass Ion Calculations'!$C17-'Mass Ion Calculations'!$D$5,'Mass Ion Calculations'!$F$15+'AA Exact Masses'!$Q$2-'Mass Ion Calculations'!$E$10-'Mass Ion Calculations'!$E17-'Mass Ion Calculations'!$D$5)))</f>
        <v>363.78070000000002</v>
      </c>
      <c r="I16" s="3">
        <f>IF(OR($B16="",I$3=""),"",IF('Mass Ion Calculations'!$D$6="Yes",IF('Mass Ion Calculations'!$D$7="Yes",'Mass Ion Calculations'!$D$18+'AA Exact Masses'!$Q$2-'Mass Ion Calculations'!$C$11-'Mass Ion Calculations'!$C17-'Mass Ion Calculations'!$D$5,'Mass Ion Calculations'!$F$18+'AA Exact Masses'!$Q$2-'Mass Ion Calculations'!$E$11-'Mass Ion Calculations'!$E17-'Mass Ion Calculations'!$D$5),IF('Mass Ion Calculations'!$D$7="Yes", 'Mass Ion Calculations'!$D$15+'AA Exact Masses'!$Q$2-'Mass Ion Calculations'!$C$11-'Mass Ion Calculations'!$C17-'Mass Ion Calculations'!$D$5,'Mass Ion Calculations'!$F$15+'AA Exact Masses'!$Q$2-'Mass Ion Calculations'!$E$11-'Mass Ion Calculations'!$E17-'Mass Ion Calculations'!$D$5)))</f>
        <v>362.78543999999988</v>
      </c>
      <c r="J16" s="3">
        <f>IF(OR($B16="",J$3=""),"",IF('Mass Ion Calculations'!$D$6="Yes",IF('Mass Ion Calculations'!$D$7="Yes",'Mass Ion Calculations'!$D$18+'AA Exact Masses'!$Q$2-'Mass Ion Calculations'!$C$12-'Mass Ion Calculations'!$C17-'Mass Ion Calculations'!$D$5,'Mass Ion Calculations'!$F$18+'AA Exact Masses'!$Q$2-'Mass Ion Calculations'!$E$12-'Mass Ion Calculations'!$E17-'Mass Ion Calculations'!$D$5),IF('Mass Ion Calculations'!$D$7="Yes", 'Mass Ion Calculations'!$D$15+'AA Exact Masses'!$Q$2-'Mass Ion Calculations'!$C$12-'Mass Ion Calculations'!$C17-'Mass Ion Calculations'!$D$5,'Mass Ion Calculations'!$F$15+'AA Exact Masses'!$Q$2-'Mass Ion Calculations'!$E$12-'Mass Ion Calculations'!$E17-'Mass Ion Calculations'!$D$5)))</f>
        <v>377.79634999999985</v>
      </c>
      <c r="K16" s="3">
        <f>IF(OR($B16="",K$3=""),"",IF('Mass Ion Calculations'!$D$6="Yes",IF('Mass Ion Calculations'!$D$7="Yes",'Mass Ion Calculations'!$D$18+'AA Exact Masses'!$Q$2-'Mass Ion Calculations'!$C$13-'Mass Ion Calculations'!$C17-'Mass Ion Calculations'!$D$5,'Mass Ion Calculations'!$F$18+'AA Exact Masses'!$Q$2-'Mass Ion Calculations'!$E$14-'Mass Ion Calculations'!$E17-'Mass Ion Calculations'!$D$5),IF('Mass Ion Calculations'!$D$7="Yes", 'Mass Ion Calculations'!$D$15+'AA Exact Masses'!$Q$2-'Mass Ion Calculations'!$C$13-'Mass Ion Calculations'!$C17-'Mass Ion Calculations'!$D$5,'Mass Ion Calculations'!$F$15+'AA Exact Masses'!$Q$2-'Mass Ion Calculations'!$E$14-'Mass Ion Calculations'!$E17-'Mass Ion Calculations'!$D$5)))</f>
        <v>347.82216999999991</v>
      </c>
      <c r="L16" s="3">
        <f>IF(OR($B16="",L$3=""),"",IF('Mass Ion Calculations'!$D$6="Yes",IF('Mass Ion Calculations'!$D$7="Yes",'Mass Ion Calculations'!$D$18+'AA Exact Masses'!$Q$2-'Mass Ion Calculations'!$C$14-'Mass Ion Calculations'!$C17-'Mass Ion Calculations'!$D$5,'Mass Ion Calculations'!$F$18+'AA Exact Masses'!$Q$2-'Mass Ion Calculations'!$E$15-'Mass Ion Calculations'!$E17-'Mass Ion Calculations'!$D$5),IF('Mass Ion Calculations'!$D$7="Yes", 'Mass Ion Calculations'!$D$15+'AA Exact Masses'!$Q$2-'Mass Ion Calculations'!$C$14-'Mass Ion Calculations'!$C17-'Mass Ion Calculations'!$D$5,'Mass Ion Calculations'!$F$15+'AA Exact Masses'!$Q$2-'Mass Ion Calculations'!$E$15-'Mass Ion Calculations'!$E17-'Mass Ion Calculations'!$D$5)))</f>
        <v>361.83781999999997</v>
      </c>
      <c r="M16" s="3">
        <f>IF(OR($B16="",M$3=""),"",IF('Mass Ion Calculations'!$D$6="Yes",IF('Mass Ion Calculations'!$D$7="Yes",'Mass Ion Calculations'!$D$18+'AA Exact Masses'!$Q$2-'Mass Ion Calculations'!$C$15-'Mass Ion Calculations'!$C17-'Mass Ion Calculations'!$D$5,'Mass Ion Calculations'!$F$18+'AA Exact Masses'!$Q$2-'Mass Ion Calculations'!$E$16-'Mass Ion Calculations'!$E17-'Mass Ion Calculations'!$D$5),IF('Mass Ion Calculations'!$D$7="Yes", 'Mass Ion Calculations'!$D$15+'AA Exact Masses'!$Q$2-'Mass Ion Calculations'!$C$15-'Mass Ion Calculations'!$C17-'Mass Ion Calculations'!$D$5,'Mass Ion Calculations'!$F$15+'AA Exact Masses'!$Q$2-'Mass Ion Calculations'!$E$16-'Mass Ion Calculations'!$E17-'Mass Ion Calculations'!$D$5)))</f>
        <v>405.82764999999995</v>
      </c>
      <c r="N16" s="3">
        <f>IF(OR($B16="",N$3=""),"",IF('Mass Ion Calculations'!$D$6="Yes",IF('Mass Ion Calculations'!$D$7="Yes",'Mass Ion Calculations'!$D$18+'AA Exact Masses'!$Q$2-'Mass Ion Calculations'!$C$16-'Mass Ion Calculations'!$C17-'Mass Ion Calculations'!$D$5,'Mass Ion Calculations'!$F$18+'AA Exact Masses'!$Q$2-'Mass Ion Calculations'!$E$17-'Mass Ion Calculations'!$E17-'Mass Ion Calculations'!$D$5),IF('Mass Ion Calculations'!$D$7="Yes", 'Mass Ion Calculations'!$D$15+'AA Exact Masses'!$Q$2-'Mass Ion Calculations'!$C$16-'Mass Ion Calculations'!$C17-'Mass Ion Calculations'!$D$5,'Mass Ion Calculations'!$F$15+'AA Exact Masses'!$Q$2-'Mass Ion Calculations'!$E$17-'Mass Ion Calculations'!$E17-'Mass Ion Calculations'!$D$5)))</f>
        <v>329.79634999999985</v>
      </c>
      <c r="O16" s="3">
        <f>IF(OR($B16="",O$3=""),"",IF('Mass Ion Calculations'!$D$6="Yes",IF('Mass Ion Calculations'!$D$7="Yes",'Mass Ion Calculations'!$D$18+'AA Exact Masses'!$Q$2-'Mass Ion Calculations'!$C$17-'Mass Ion Calculations'!$C17-'Mass Ion Calculations'!$D$5,'Mass Ion Calculations'!$F$18+'AA Exact Masses'!$Q$2-'Mass Ion Calculations'!$E$18-'Mass Ion Calculations'!$E17-'Mass Ion Calculations'!$D$5),IF('Mass Ion Calculations'!$D$7="Yes", 'Mass Ion Calculations'!$D$15+'AA Exact Masses'!$Q$2-'Mass Ion Calculations'!$C$17-'Mass Ion Calculations'!$C17-'Mass Ion Calculations'!$D$5,'Mass Ion Calculations'!$F$15+'AA Exact Masses'!$Q$2-'Mass Ion Calculations'!$E$18-'Mass Ion Calculations'!$E17-'Mass Ion Calculations'!$D$5)))</f>
        <v>203.89969999999994</v>
      </c>
      <c r="P16" s="3">
        <f>IF(OR($B16="",P$3=""),"",IF('Mass Ion Calculations'!$D$6="Yes",IF('Mass Ion Calculations'!$D$7="Yes",'Mass Ion Calculations'!$D$18+'AA Exact Masses'!$Q$2-'Mass Ion Calculations'!$C$19-'Mass Ion Calculations'!$C17-'Mass Ion Calculations'!$D$5,'Mass Ion Calculations'!$F$18+'AA Exact Masses'!$Q$2-'Mass Ion Calculations'!$E$19-'Mass Ion Calculations'!$E17-'Mass Ion Calculations'!$D$5),IF('Mass Ion Calculations'!$D$7="Yes", 'Mass Ion Calculations'!$D$15+'AA Exact Masses'!$Q$2-'Mass Ion Calculations'!$C$19-'Mass Ion Calculations'!$C17-'Mass Ion Calculations'!$D$5,'Mass Ion Calculations'!$F$15+'AA Exact Masses'!$Q$2-'Mass Ion Calculations'!$E$19-'Mass Ion Calculations'!$E17-'Mass Ion Calculations'!$D$5)))</f>
        <v>377.79634999999985</v>
      </c>
      <c r="Q16" s="3">
        <f>IF(OR($B16="",Q$3=""),"",IF('Mass Ion Calculations'!$D$6="Yes",IF('Mass Ion Calculations'!$D$7="Yes",'Mass Ion Calculations'!$D$18+'AA Exact Masses'!$Q$2-'Mass Ion Calculations'!$C$20-'Mass Ion Calculations'!$C17-'Mass Ion Calculations'!$D$5,'Mass Ion Calculations'!$F$18+'AA Exact Masses'!$Q$2-'Mass Ion Calculations'!$E$20-'Mass Ion Calculations'!$E17-'Mass Ion Calculations'!$D$5),IF('Mass Ion Calculations'!$D$7="Yes", 'Mass Ion Calculations'!$D$15+'AA Exact Masses'!$Q$2-'Mass Ion Calculations'!$C$20-'Mass Ion Calculations'!$C17-'Mass Ion Calculations'!$D$5,'Mass Ion Calculations'!$F$15+'AA Exact Masses'!$Q$2-'Mass Ion Calculations'!$E$20-'Mass Ion Calculations'!$E17-'Mass Ion Calculations'!$D$5)))</f>
        <v>363.78070000000002</v>
      </c>
      <c r="R16" s="3" t="e">
        <f>IF(OR($B16="",R$3=""),"",IF('Mass Ion Calculations'!$D$6="Yes",IF('Mass Ion Calculations'!$D$7="Yes",'Mass Ion Calculations'!$D$18+'AA Exact Masses'!$Q$2-'Mass Ion Calculations'!$C$21-'Mass Ion Calculations'!$C17-'Mass Ion Calculations'!$D$5,'Mass Ion Calculations'!$F$18+'AA Exact Masses'!$Q$2-'Mass Ion Calculations'!$E$21-'Mass Ion Calculations'!$E17-'Mass Ion Calculations'!$D$5),IF('Mass Ion Calculations'!$D$7="Yes", 'Mass Ion Calculations'!$D$15+'AA Exact Masses'!$Q$2-'Mass Ion Calculations'!$C$21-'Mass Ion Calculations'!$C17-'Mass Ion Calculations'!$D$5,'Mass Ion Calculations'!$F$15+'AA Exact Masses'!$Q$2-'Mass Ion Calculations'!$E$21-'Mass Ion Calculations'!$E17-'Mass Ion Calculations'!$D$5)))</f>
        <v>#VALUE!</v>
      </c>
      <c r="S16" s="3" t="str">
        <f>IF(OR($B16="",S$3=""),"",IF('Mass Ion Calculations'!$D$6="Yes",IF('Mass Ion Calculations'!$D$7="Yes",'Mass Ion Calculations'!$D$18+'AA Exact Masses'!$Q$2-'Mass Ion Calculations'!$C$21-'Mass Ion Calculations'!$C17-'Mass Ion Calculations'!$D$5,'Mass Ion Calculations'!$F$18+'AA Exact Masses'!$Q$2-'Mass Ion Calculations'!$E$21-'Mass Ion Calculations'!$E18-'Mass Ion Calculations'!$D$5),IF('Mass Ion Calculations'!$D$7="Yes", 'Mass Ion Calculations'!$D$15+'AA Exact Masses'!$Q$2-'Mass Ion Calculations'!$C$21-'Mass Ion Calculations'!$C17-'Mass Ion Calculations'!$D$5,'Mass Ion Calculations'!$F$15+'AA Exact Masses'!$Q$2-'Mass Ion Calculations'!$E$21-'Mass Ion Calculations'!$E18-'Mass Ion Calculations'!$D$5)))</f>
        <v/>
      </c>
      <c r="T16" s="3" t="e">
        <f>IF(OR($B16="",T$3=""),"",IF('Mass Ion Calculations'!$D$6="Yes",IF('Mass Ion Calculations'!$D$7="Yes",'Mass Ion Calculations'!$D$18+'AA Exact Masses'!$Q$2-'Mass Ion Calculations'!$C$22-'Mass Ion Calculations'!$C17-'Mass Ion Calculations'!$D$5,'Mass Ion Calculations'!$F$18+'AA Exact Masses'!$Q$2-'Mass Ion Calculations'!$E$22-'Mass Ion Calculations'!$E18-'Mass Ion Calculations'!$D$5),IF('Mass Ion Calculations'!$D$7="Yes", 'Mass Ion Calculations'!$D$15+'AA Exact Masses'!$Q$2-'Mass Ion Calculations'!$C$22-'Mass Ion Calculations'!$C17-'Mass Ion Calculations'!$D$5,'Mass Ion Calculations'!$F$15+'AA Exact Masses'!$Q$2-'Mass Ion Calculations'!$E$22-'Mass Ion Calculations'!$E18-'Mass Ion Calculations'!$D$5)))</f>
        <v>#VALUE!</v>
      </c>
      <c r="U16" s="3" t="e">
        <f>IF(OR($B16="",U$3=""),"",IF('Mass Ion Calculations'!$D$6="Yes",IF('Mass Ion Calculations'!$D$7="Yes",'Mass Ion Calculations'!$D$18+'AA Exact Masses'!$Q$2-'Mass Ion Calculations'!$C$23-'Mass Ion Calculations'!$C17-'Mass Ion Calculations'!$D$5,'Mass Ion Calculations'!$F$18+'AA Exact Masses'!$Q$2-'Mass Ion Calculations'!$E$23-'Mass Ion Calculations'!$E18-'Mass Ion Calculations'!$D$5),IF('Mass Ion Calculations'!$D$7="Yes", 'Mass Ion Calculations'!$D$15+'AA Exact Masses'!$Q$2-'Mass Ion Calculations'!$C$23-'Mass Ion Calculations'!$C17-'Mass Ion Calculations'!$D$5,'Mass Ion Calculations'!$F$15+'AA Exact Masses'!$Q$2-'Mass Ion Calculations'!$E$23-'Mass Ion Calculations'!$E18-'Mass Ion Calculations'!$D$5)))</f>
        <v>#VALUE!</v>
      </c>
      <c r="V16" s="3" t="str">
        <f>IF(OR($B16="",V$3=""),"",IF('Mass Ion Calculations'!$D$6="Yes",IF('Mass Ion Calculations'!$D$7="Yes",'Mass Ion Calculations'!$D$18+'AA Exact Masses'!$Q$2-'Mass Ion Calculations'!$C$24-'Mass Ion Calculations'!$C17-'Mass Ion Calculations'!$D$5,'Mass Ion Calculations'!$F$18+'AA Exact Masses'!$Q$2-'Mass Ion Calculations'!$E$24-'Mass Ion Calculations'!$E18-'Mass Ion Calculations'!$D$5),IF('Mass Ion Calculations'!$D$7="Yes", 'Mass Ion Calculations'!$D$15+'AA Exact Masses'!$Q$2-'Mass Ion Calculations'!$C$24-'Mass Ion Calculations'!$C17-'Mass Ion Calculations'!$D$5,'Mass Ion Calculations'!$F$15+'AA Exact Masses'!$Q$2-'Mass Ion Calculations'!$E$24-'Mass Ion Calculations'!$E18-'Mass Ion Calculations'!$D$5)))</f>
        <v/>
      </c>
      <c r="W16" s="3" t="str">
        <f>IF(OR($B16="",W$3=""),"",IF('Mass Ion Calculations'!$D$6="Yes",IF('Mass Ion Calculations'!$D$7="Yes",'Mass Ion Calculations'!$D$18+'AA Exact Masses'!$Q$2-'Mass Ion Calculations'!$C$25-'Mass Ion Calculations'!$C17-'Mass Ion Calculations'!$D$5,'Mass Ion Calculations'!$F$18+'AA Exact Masses'!$Q$2-'Mass Ion Calculations'!$E$25-'Mass Ion Calculations'!$E18-'Mass Ion Calculations'!$D$5),IF('Mass Ion Calculations'!$D$7="Yes", 'Mass Ion Calculations'!$D$15+'AA Exact Masses'!$Q$2-'Mass Ion Calculations'!$C$25-'Mass Ion Calculations'!$C17-'Mass Ion Calculations'!$D$5,'Mass Ion Calculations'!$F$15+'AA Exact Masses'!$Q$2-'Mass Ion Calculations'!$E$25-'Mass Ion Calculations'!$E18-'Mass Ion Calculations'!$D$5)))</f>
        <v/>
      </c>
      <c r="X16" s="3" t="str">
        <f>IF(OR($B16="",X$3=""),"",IF('Mass Ion Calculations'!$D$6="Yes",IF('Mass Ion Calculations'!$D$7="Yes",'Mass Ion Calculations'!$D$18+'AA Exact Masses'!$Q$2-'Mass Ion Calculations'!$C$26-'Mass Ion Calculations'!$C17-'Mass Ion Calculations'!$D$5,'Mass Ion Calculations'!$F$18+'AA Exact Masses'!$Q$2-'Mass Ion Calculations'!$E$26-'Mass Ion Calculations'!$E18-'Mass Ion Calculations'!$D$5),IF('Mass Ion Calculations'!$D$7="Yes", 'Mass Ion Calculations'!$D$15+'AA Exact Masses'!$Q$2-'Mass Ion Calculations'!$C$26-'Mass Ion Calculations'!$C17-'Mass Ion Calculations'!$D$5,'Mass Ion Calculations'!$F$15+'AA Exact Masses'!$Q$2-'Mass Ion Calculations'!$E$26-'Mass Ion Calculations'!$E18-'Mass Ion Calculations'!$D$5)))</f>
        <v/>
      </c>
      <c r="Y16" s="3" t="str">
        <f>IF(OR($B16="",Y$3=""),"",IF('Mass Ion Calculations'!$D$6="Yes",IF('Mass Ion Calculations'!$D$7="Yes",'Mass Ion Calculations'!$D$18+'AA Exact Masses'!$Q$2-'Mass Ion Calculations'!$C$27-'Mass Ion Calculations'!$C17-'Mass Ion Calculations'!$D$5,'Mass Ion Calculations'!$F$18+'AA Exact Masses'!$Q$2-'Mass Ion Calculations'!$E$27-'Mass Ion Calculations'!$E18-'Mass Ion Calculations'!$D$5),IF('Mass Ion Calculations'!$D$7="Yes", 'Mass Ion Calculations'!$D$15+'AA Exact Masses'!$Q$2-'Mass Ion Calculations'!$C$27-'Mass Ion Calculations'!$C17-'Mass Ion Calculations'!$D$5,'Mass Ion Calculations'!$F$15+'AA Exact Masses'!$Q$2-'Mass Ion Calculations'!$E$27-'Mass Ion Calculations'!$E18-'Mass Ion Calculations'!$D$5)))</f>
        <v/>
      </c>
      <c r="Z16" s="3" t="str">
        <f>IF(OR($B16="",Z$3=""),"",IF('Mass Ion Calculations'!$D$6="Yes",IF('Mass Ion Calculations'!$D$7="Yes",'Mass Ion Calculations'!$D$18+'AA Exact Masses'!$Q$2-'Mass Ion Calculations'!$C$28-'Mass Ion Calculations'!$C17-'Mass Ion Calculations'!$D$5,'Mass Ion Calculations'!$F$18+'AA Exact Masses'!$Q$2-'Mass Ion Calculations'!$E$2-'Mass Ion Calculations'!$E18-'Mass Ion Calculations'!$D$5),IF('Mass Ion Calculations'!$D$7="Yes", 'Mass Ion Calculations'!$D$15+'AA Exact Masses'!$Q$2-'Mass Ion Calculations'!$C$28-'Mass Ion Calculations'!$C17-'Mass Ion Calculations'!$D$5,'Mass Ion Calculations'!$F$15+'AA Exact Masses'!$Q$2-'Mass Ion Calculations'!$E$2-'Mass Ion Calculations'!$E18-'Mass Ion Calculations'!$D$5)))</f>
        <v/>
      </c>
    </row>
    <row r="17" spans="2:26" x14ac:dyDescent="0.25">
      <c r="B17" s="4" t="str">
        <f>IF('Mass Ion Calculations'!B18="","",'Mass Ion Calculations'!B18)</f>
        <v>Phe-I</v>
      </c>
      <c r="C17" s="3">
        <f>IF(OR($B17="",C$3=""),"",IF('Mass Ion Calculations'!$D$6="Yes",IF('Mass Ion Calculations'!$D$7="Yes",'Mass Ion Calculations'!$D$18+'AA Exact Masses'!$Q$2-'Mass Ion Calculations'!$C$5-'Mass Ion Calculations'!$C18-'Mass Ion Calculations'!$D$5,'Mass Ion Calculations'!$F$18+'AA Exact Masses'!$Q$2-'Mass Ion Calculations'!$E$5-'Mass Ion Calculations'!E18-'Mass Ion Calculations'!$D$5),IF('Mass Ion Calculations'!$D$7="Yes", 'Mass Ion Calculations'!$D$15+'AA Exact Masses'!$Q$2-'Mass Ion Calculations'!$C$5-'Mass Ion Calculations'!$C18-'Mass Ion Calculations'!$D$5,'Mass Ion Calculations'!$F$15+'AA Exact Masses'!$Q$2-'Mass Ion Calculations'!$E$5-'Mass Ion Calculations'!E18-'Mass Ion Calculations'!$D$5)))</f>
        <v>236.88878999999997</v>
      </c>
      <c r="D17" s="3">
        <f>IF(OR($B17="",D$3=""),"",IF('Mass Ion Calculations'!$D$6="Yes",IF('Mass Ion Calculations'!$D$7="Yes",'Mass Ion Calculations'!$D$18+'AA Exact Masses'!$Q$2-'Mass Ion Calculations'!$C$6-'Mass Ion Calculations'!$C18-'Mass Ion Calculations'!$D$5,'Mass Ion Calculations'!$F$18+'AA Exact Masses'!$Q$2-'Mass Ion Calculations'!$E$6-'Mass Ion Calculations'!E18-'Mass Ion Calculations'!$D$5),IF('Mass Ion Calculations'!$D$7="Yes", 'Mass Ion Calculations'!$D$15+'AA Exact Masses'!$Q$2-'Mass Ion Calculations'!$C$6-'Mass Ion Calculations'!$C18-'Mass Ion Calculations'!$D$5,'Mass Ion Calculations'!$F$15+'AA Exact Masses'!$Q$2-'Mass Ion Calculations'!$E$6-'Mass Ion Calculations'!E18-'Mass Ion Calculations'!$D$5)))</f>
        <v>279.93100000000004</v>
      </c>
      <c r="E17" s="3">
        <f>IF(OR($B17="",E$3=""),"",IF('Mass Ion Calculations'!$D$6="Yes",IF('Mass Ion Calculations'!$D$7="Yes",'Mass Ion Calculations'!$D$18+'AA Exact Masses'!$Q$2-'Mass Ion Calculations'!$C$7-'Mass Ion Calculations'!$C18-'Mass Ion Calculations'!$D$5,'Mass Ion Calculations'!$F$18+'AA Exact Masses'!$Q$2-'Mass Ion Calculations'!$E$7-'Mass Ion Calculations'!$E18-'Mass Ion Calculations'!$D$5),IF('Mass Ion Calculations'!$D$7="Yes", 'Mass Ion Calculations'!$D$15+'AA Exact Masses'!$Q$2-'Mass Ion Calculations'!$C$7-'Mass Ion Calculations'!$C18-'Mass Ion Calculations'!$D$5,'Mass Ion Calculations'!$F$15+'AA Exact Masses'!$Q$2-'Mass Ion Calculations'!$E$7-'Mass Ion Calculations'!$E18-'Mass Ion Calculations'!$D$5)))</f>
        <v>237.88405000000012</v>
      </c>
      <c r="F17" s="3">
        <f>IF(OR($B17="",F$3=""),"",IF('Mass Ion Calculations'!$D$6="Yes",IF('Mass Ion Calculations'!$D$7="Yes",'Mass Ion Calculations'!$D$18+'AA Exact Masses'!$Q$2-'Mass Ion Calculations'!$C$8-'Mass Ion Calculations'!$C18-'Mass Ion Calculations'!$D$5,'Mass Ion Calculations'!$F$18+'AA Exact Masses'!$Q$2-'Mass Ion Calculations'!$E$8-'Mass Ion Calculations'!$E18-'Mass Ion Calculations'!$D$5),IF('Mass Ion Calculations'!$D$7="Yes", 'Mass Ion Calculations'!$D$15+'AA Exact Masses'!$Q$2-'Mass Ion Calculations'!$C$8-'Mass Ion Calculations'!$C18-'Mass Ion Calculations'!$D$5,'Mass Ion Calculations'!$F$15+'AA Exact Masses'!$Q$2-'Mass Ion Calculations'!$E$8-'Mass Ion Calculations'!$E18-'Mass Ion Calculations'!$D$5)))</f>
        <v>237.88405000000012</v>
      </c>
      <c r="G17" s="3">
        <f>IF(OR($B17="",G$3=""),"",IF('Mass Ion Calculations'!$D$6="Yes",IF('Mass Ion Calculations'!$D$7="Yes",'Mass Ion Calculations'!$D$18+'AA Exact Masses'!$Q$2-'Mass Ion Calculations'!$C$9-'Mass Ion Calculations'!$C18-'Mass Ion Calculations'!$D$5,'Mass Ion Calculations'!$F$18+'AA Exact Masses'!$Q$2-'Mass Ion Calculations'!$E$9-'Mass Ion Calculations'!$E18-'Mass Ion Calculations'!$D$5),IF('Mass Ion Calculations'!$D$7="Yes", 'Mass Ion Calculations'!$D$15+'AA Exact Masses'!$Q$2-'Mass Ion Calculations'!$C$9-'Mass Ion Calculations'!$C18-'Mass Ion Calculations'!$D$5,'Mass Ion Calculations'!$F$15+'AA Exact Masses'!$Q$2-'Mass Ion Calculations'!$E$9-'Mass Ion Calculations'!$E18-'Mass Ion Calculations'!$D$5)))</f>
        <v>279.93100000000004</v>
      </c>
      <c r="H17" s="3">
        <f>IF(OR($B17="",H$3=""),"",IF('Mass Ion Calculations'!$D$6="Yes",IF('Mass Ion Calculations'!$D$7="Yes",'Mass Ion Calculations'!$D$18+'AA Exact Masses'!$Q$2-'Mass Ion Calculations'!$C$10-'Mass Ion Calculations'!$C18-'Mass Ion Calculations'!$D$5,'Mass Ion Calculations'!$F$18+'AA Exact Masses'!$Q$2-'Mass Ion Calculations'!$E$10-'Mass Ion Calculations'!$E18-'Mass Ion Calculations'!$D$5),IF('Mass Ion Calculations'!$D$7="Yes", 'Mass Ion Calculations'!$D$15+'AA Exact Masses'!$Q$2-'Mass Ion Calculations'!$C$10-'Mass Ion Calculations'!$C18-'Mass Ion Calculations'!$D$5,'Mass Ion Calculations'!$F$15+'AA Exact Masses'!$Q$2-'Mass Ion Calculations'!$E$10-'Mass Ion Calculations'!$E18-'Mass Ion Calculations'!$D$5)))</f>
        <v>237.88405000000012</v>
      </c>
      <c r="I17" s="3">
        <f>IF(OR($B17="",I$3=""),"",IF('Mass Ion Calculations'!$D$6="Yes",IF('Mass Ion Calculations'!$D$7="Yes",'Mass Ion Calculations'!$D$18+'AA Exact Masses'!$Q$2-'Mass Ion Calculations'!$C$11-'Mass Ion Calculations'!$C18-'Mass Ion Calculations'!$D$5,'Mass Ion Calculations'!$F$18+'AA Exact Masses'!$Q$2-'Mass Ion Calculations'!$E$11-'Mass Ion Calculations'!$E18-'Mass Ion Calculations'!$D$5),IF('Mass Ion Calculations'!$D$7="Yes", 'Mass Ion Calculations'!$D$15+'AA Exact Masses'!$Q$2-'Mass Ion Calculations'!$C$11-'Mass Ion Calculations'!$C18-'Mass Ion Calculations'!$D$5,'Mass Ion Calculations'!$F$15+'AA Exact Masses'!$Q$2-'Mass Ion Calculations'!$E$11-'Mass Ion Calculations'!$E18-'Mass Ion Calculations'!$D$5)))</f>
        <v>236.88878999999997</v>
      </c>
      <c r="J17" s="3">
        <f>IF(OR($B17="",J$3=""),"",IF('Mass Ion Calculations'!$D$6="Yes",IF('Mass Ion Calculations'!$D$7="Yes",'Mass Ion Calculations'!$D$18+'AA Exact Masses'!$Q$2-'Mass Ion Calculations'!$C$12-'Mass Ion Calculations'!$C18-'Mass Ion Calculations'!$D$5,'Mass Ion Calculations'!$F$18+'AA Exact Masses'!$Q$2-'Mass Ion Calculations'!$E$12-'Mass Ion Calculations'!$E18-'Mass Ion Calculations'!$D$5),IF('Mass Ion Calculations'!$D$7="Yes", 'Mass Ion Calculations'!$D$15+'AA Exact Masses'!$Q$2-'Mass Ion Calculations'!$C$12-'Mass Ion Calculations'!$C18-'Mass Ion Calculations'!$D$5,'Mass Ion Calculations'!$F$15+'AA Exact Masses'!$Q$2-'Mass Ion Calculations'!$E$12-'Mass Ion Calculations'!$E18-'Mass Ion Calculations'!$D$5)))</f>
        <v>251.89969999999994</v>
      </c>
      <c r="K17" s="3">
        <f>IF(OR($B17="",K$3=""),"",IF('Mass Ion Calculations'!$D$6="Yes",IF('Mass Ion Calculations'!$D$7="Yes",'Mass Ion Calculations'!$D$18+'AA Exact Masses'!$Q$2-'Mass Ion Calculations'!$C$13-'Mass Ion Calculations'!$C18-'Mass Ion Calculations'!$D$5,'Mass Ion Calculations'!$F$18+'AA Exact Masses'!$Q$2-'Mass Ion Calculations'!$E$14-'Mass Ion Calculations'!$E18-'Mass Ion Calculations'!$D$5),IF('Mass Ion Calculations'!$D$7="Yes", 'Mass Ion Calculations'!$D$15+'AA Exact Masses'!$Q$2-'Mass Ion Calculations'!$C$13-'Mass Ion Calculations'!$C18-'Mass Ion Calculations'!$D$5,'Mass Ion Calculations'!$F$15+'AA Exact Masses'!$Q$2-'Mass Ion Calculations'!$E$14-'Mass Ion Calculations'!$E18-'Mass Ion Calculations'!$D$5)))</f>
        <v>221.92552000000001</v>
      </c>
      <c r="L17" s="3">
        <f>IF(OR($B17="",L$3=""),"",IF('Mass Ion Calculations'!$D$6="Yes",IF('Mass Ion Calculations'!$D$7="Yes",'Mass Ion Calculations'!$D$18+'AA Exact Masses'!$Q$2-'Mass Ion Calculations'!$C$14-'Mass Ion Calculations'!$C18-'Mass Ion Calculations'!$D$5,'Mass Ion Calculations'!$F$18+'AA Exact Masses'!$Q$2-'Mass Ion Calculations'!$E$15-'Mass Ion Calculations'!$E18-'Mass Ion Calculations'!$D$5),IF('Mass Ion Calculations'!$D$7="Yes", 'Mass Ion Calculations'!$D$15+'AA Exact Masses'!$Q$2-'Mass Ion Calculations'!$C$14-'Mass Ion Calculations'!$C18-'Mass Ion Calculations'!$D$5,'Mass Ion Calculations'!$F$15+'AA Exact Masses'!$Q$2-'Mass Ion Calculations'!$E$15-'Mass Ion Calculations'!$E18-'Mass Ion Calculations'!$D$5)))</f>
        <v>235.94117000000006</v>
      </c>
      <c r="M17" s="3">
        <f>IF(OR($B17="",M$3=""),"",IF('Mass Ion Calculations'!$D$6="Yes",IF('Mass Ion Calculations'!$D$7="Yes",'Mass Ion Calculations'!$D$18+'AA Exact Masses'!$Q$2-'Mass Ion Calculations'!$C$15-'Mass Ion Calculations'!$C18-'Mass Ion Calculations'!$D$5,'Mass Ion Calculations'!$F$18+'AA Exact Masses'!$Q$2-'Mass Ion Calculations'!$E$16-'Mass Ion Calculations'!$E18-'Mass Ion Calculations'!$D$5),IF('Mass Ion Calculations'!$D$7="Yes", 'Mass Ion Calculations'!$D$15+'AA Exact Masses'!$Q$2-'Mass Ion Calculations'!$C$15-'Mass Ion Calculations'!$C18-'Mass Ion Calculations'!$D$5,'Mass Ion Calculations'!$F$15+'AA Exact Masses'!$Q$2-'Mass Ion Calculations'!$E$16-'Mass Ion Calculations'!$E18-'Mass Ion Calculations'!$D$5)))</f>
        <v>279.93100000000004</v>
      </c>
      <c r="N17" s="3">
        <f>IF(OR($B17="",N$3=""),"",IF('Mass Ion Calculations'!$D$6="Yes",IF('Mass Ion Calculations'!$D$7="Yes",'Mass Ion Calculations'!$D$18+'AA Exact Masses'!$Q$2-'Mass Ion Calculations'!$C$16-'Mass Ion Calculations'!$C18-'Mass Ion Calculations'!$D$5,'Mass Ion Calculations'!$F$18+'AA Exact Masses'!$Q$2-'Mass Ion Calculations'!$E$17-'Mass Ion Calculations'!$E18-'Mass Ion Calculations'!$D$5),IF('Mass Ion Calculations'!$D$7="Yes", 'Mass Ion Calculations'!$D$15+'AA Exact Masses'!$Q$2-'Mass Ion Calculations'!$C$16-'Mass Ion Calculations'!$C18-'Mass Ion Calculations'!$D$5,'Mass Ion Calculations'!$F$15+'AA Exact Masses'!$Q$2-'Mass Ion Calculations'!$E$17-'Mass Ion Calculations'!$E18-'Mass Ion Calculations'!$D$5)))</f>
        <v>203.89969999999994</v>
      </c>
      <c r="O17" s="3">
        <f>IF(OR($B17="",O$3=""),"",IF('Mass Ion Calculations'!$D$6="Yes",IF('Mass Ion Calculations'!$D$7="Yes",'Mass Ion Calculations'!$D$18+'AA Exact Masses'!$Q$2-'Mass Ion Calculations'!$C$17-'Mass Ion Calculations'!$C18-'Mass Ion Calculations'!$D$5,'Mass Ion Calculations'!$F$18+'AA Exact Masses'!$Q$2-'Mass Ion Calculations'!$E$18-'Mass Ion Calculations'!$E18-'Mass Ion Calculations'!$D$5),IF('Mass Ion Calculations'!$D$7="Yes", 'Mass Ion Calculations'!$D$15+'AA Exact Masses'!$Q$2-'Mass Ion Calculations'!$C$17-'Mass Ion Calculations'!$C18-'Mass Ion Calculations'!$D$5,'Mass Ion Calculations'!$F$15+'AA Exact Masses'!$Q$2-'Mass Ion Calculations'!$E$18-'Mass Ion Calculations'!$E18-'Mass Ion Calculations'!$D$5)))</f>
        <v>78.00305000000003</v>
      </c>
      <c r="P17" s="3">
        <f>IF(OR($B17="",P$3=""),"",IF('Mass Ion Calculations'!$D$6="Yes",IF('Mass Ion Calculations'!$D$7="Yes",'Mass Ion Calculations'!$D$18+'AA Exact Masses'!$Q$2-'Mass Ion Calculations'!$C$19-'Mass Ion Calculations'!$C18-'Mass Ion Calculations'!$D$5,'Mass Ion Calculations'!$F$18+'AA Exact Masses'!$Q$2-'Mass Ion Calculations'!$E$19-'Mass Ion Calculations'!$E18-'Mass Ion Calculations'!$D$5),IF('Mass Ion Calculations'!$D$7="Yes", 'Mass Ion Calculations'!$D$15+'AA Exact Masses'!$Q$2-'Mass Ion Calculations'!$C$19-'Mass Ion Calculations'!$C18-'Mass Ion Calculations'!$D$5,'Mass Ion Calculations'!$F$15+'AA Exact Masses'!$Q$2-'Mass Ion Calculations'!$E$19-'Mass Ion Calculations'!$E18-'Mass Ion Calculations'!$D$5)))</f>
        <v>251.89969999999994</v>
      </c>
      <c r="Q17" s="3">
        <f>IF(OR($B17="",Q$3=""),"",IF('Mass Ion Calculations'!$D$6="Yes",IF('Mass Ion Calculations'!$D$7="Yes",'Mass Ion Calculations'!$D$18+'AA Exact Masses'!$Q$2-'Mass Ion Calculations'!$C$20-'Mass Ion Calculations'!$C18-'Mass Ion Calculations'!$D$5,'Mass Ion Calculations'!$F$18+'AA Exact Masses'!$Q$2-'Mass Ion Calculations'!$E$20-'Mass Ion Calculations'!$E18-'Mass Ion Calculations'!$D$5),IF('Mass Ion Calculations'!$D$7="Yes", 'Mass Ion Calculations'!$D$15+'AA Exact Masses'!$Q$2-'Mass Ion Calculations'!$C$20-'Mass Ion Calculations'!$C18-'Mass Ion Calculations'!$D$5,'Mass Ion Calculations'!$F$15+'AA Exact Masses'!$Q$2-'Mass Ion Calculations'!$E$20-'Mass Ion Calculations'!$E18-'Mass Ion Calculations'!$D$5)))</f>
        <v>237.88405000000012</v>
      </c>
      <c r="R17" s="3" t="e">
        <f>IF(OR($B17="",R$3=""),"",IF('Mass Ion Calculations'!$D$6="Yes",IF('Mass Ion Calculations'!$D$7="Yes",'Mass Ion Calculations'!$D$18+'AA Exact Masses'!$Q$2-'Mass Ion Calculations'!$C$21-'Mass Ion Calculations'!$C18-'Mass Ion Calculations'!$D$5,'Mass Ion Calculations'!$F$18+'AA Exact Masses'!$Q$2-'Mass Ion Calculations'!$E$21-'Mass Ion Calculations'!$E18-'Mass Ion Calculations'!$D$5),IF('Mass Ion Calculations'!$D$7="Yes", 'Mass Ion Calculations'!$D$15+'AA Exact Masses'!$Q$2-'Mass Ion Calculations'!$C$21-'Mass Ion Calculations'!$C18-'Mass Ion Calculations'!$D$5,'Mass Ion Calculations'!$F$15+'AA Exact Masses'!$Q$2-'Mass Ion Calculations'!$E$21-'Mass Ion Calculations'!$E18-'Mass Ion Calculations'!$D$5)))</f>
        <v>#VALUE!</v>
      </c>
      <c r="S17" s="3" t="str">
        <f>IF(OR($B17="",S$3=""),"",IF('Mass Ion Calculations'!$D$6="Yes",IF('Mass Ion Calculations'!$D$7="Yes",'Mass Ion Calculations'!$D$18+'AA Exact Masses'!$Q$2-'Mass Ion Calculations'!$C$21-'Mass Ion Calculations'!$C18-'Mass Ion Calculations'!$D$5,'Mass Ion Calculations'!$F$18+'AA Exact Masses'!$Q$2-'Mass Ion Calculations'!$E$21-'Mass Ion Calculations'!#REF!-'Mass Ion Calculations'!$D$5),IF('Mass Ion Calculations'!$D$7="Yes", 'Mass Ion Calculations'!$D$15+'AA Exact Masses'!$Q$2-'Mass Ion Calculations'!$C$21-'Mass Ion Calculations'!$C18-'Mass Ion Calculations'!$D$5,'Mass Ion Calculations'!$F$15+'AA Exact Masses'!$Q$2-'Mass Ion Calculations'!$E$21-'Mass Ion Calculations'!#REF!-'Mass Ion Calculations'!$D$5)))</f>
        <v/>
      </c>
      <c r="T17" s="3" t="e">
        <f>IF(OR($B17="",T$3=""),"",IF('Mass Ion Calculations'!$D$6="Yes",IF('Mass Ion Calculations'!$D$7="Yes",'Mass Ion Calculations'!$D$18+'AA Exact Masses'!$Q$2-'Mass Ion Calculations'!$C$22-'Mass Ion Calculations'!$C18-'Mass Ion Calculations'!$D$5,'Mass Ion Calculations'!$F$18+'AA Exact Masses'!$Q$2-'Mass Ion Calculations'!$E$22-'Mass Ion Calculations'!#REF!-'Mass Ion Calculations'!$D$5),IF('Mass Ion Calculations'!$D$7="Yes", 'Mass Ion Calculations'!$D$15+'AA Exact Masses'!$Q$2-'Mass Ion Calculations'!$C$22-'Mass Ion Calculations'!$C18-'Mass Ion Calculations'!$D$5,'Mass Ion Calculations'!$F$15+'AA Exact Masses'!$Q$2-'Mass Ion Calculations'!$E$22-'Mass Ion Calculations'!#REF!-'Mass Ion Calculations'!$D$5)))</f>
        <v>#VALUE!</v>
      </c>
      <c r="U17" s="3" t="e">
        <f>IF(OR($B17="",U$3=""),"",IF('Mass Ion Calculations'!$D$6="Yes",IF('Mass Ion Calculations'!$D$7="Yes",'Mass Ion Calculations'!$D$18+'AA Exact Masses'!$Q$2-'Mass Ion Calculations'!$C$23-'Mass Ion Calculations'!$C18-'Mass Ion Calculations'!$D$5,'Mass Ion Calculations'!$F$18+'AA Exact Masses'!$Q$2-'Mass Ion Calculations'!$E$23-'Mass Ion Calculations'!#REF!-'Mass Ion Calculations'!$D$5),IF('Mass Ion Calculations'!$D$7="Yes", 'Mass Ion Calculations'!$D$15+'AA Exact Masses'!$Q$2-'Mass Ion Calculations'!$C$23-'Mass Ion Calculations'!$C18-'Mass Ion Calculations'!$D$5,'Mass Ion Calculations'!$F$15+'AA Exact Masses'!$Q$2-'Mass Ion Calculations'!$E$23-'Mass Ion Calculations'!#REF!-'Mass Ion Calculations'!$D$5)))</f>
        <v>#VALUE!</v>
      </c>
      <c r="V17" s="3" t="str">
        <f>IF(OR($B17="",V$3=""),"",IF('Mass Ion Calculations'!$D$6="Yes",IF('Mass Ion Calculations'!$D$7="Yes",'Mass Ion Calculations'!$D$18+'AA Exact Masses'!$Q$2-'Mass Ion Calculations'!$C$24-'Mass Ion Calculations'!$C18-'Mass Ion Calculations'!$D$5,'Mass Ion Calculations'!$F$18+'AA Exact Masses'!$Q$2-'Mass Ion Calculations'!$E$24-'Mass Ion Calculations'!#REF!-'Mass Ion Calculations'!$D$5),IF('Mass Ion Calculations'!$D$7="Yes", 'Mass Ion Calculations'!$D$15+'AA Exact Masses'!$Q$2-'Mass Ion Calculations'!$C$24-'Mass Ion Calculations'!$C18-'Mass Ion Calculations'!$D$5,'Mass Ion Calculations'!$F$15+'AA Exact Masses'!$Q$2-'Mass Ion Calculations'!$E$24-'Mass Ion Calculations'!#REF!-'Mass Ion Calculations'!$D$5)))</f>
        <v/>
      </c>
      <c r="W17" s="3" t="str">
        <f>IF(OR($B17="",W$3=""),"",IF('Mass Ion Calculations'!$D$6="Yes",IF('Mass Ion Calculations'!$D$7="Yes",'Mass Ion Calculations'!$D$18+'AA Exact Masses'!$Q$2-'Mass Ion Calculations'!$C$25-'Mass Ion Calculations'!$C18-'Mass Ion Calculations'!$D$5,'Mass Ion Calculations'!$F$18+'AA Exact Masses'!$Q$2-'Mass Ion Calculations'!$E$25-'Mass Ion Calculations'!#REF!-'Mass Ion Calculations'!$D$5),IF('Mass Ion Calculations'!$D$7="Yes", 'Mass Ion Calculations'!$D$15+'AA Exact Masses'!$Q$2-'Mass Ion Calculations'!$C$25-'Mass Ion Calculations'!$C18-'Mass Ion Calculations'!$D$5,'Mass Ion Calculations'!$F$15+'AA Exact Masses'!$Q$2-'Mass Ion Calculations'!$E$25-'Mass Ion Calculations'!#REF!-'Mass Ion Calculations'!$D$5)))</f>
        <v/>
      </c>
      <c r="X17" s="3" t="str">
        <f>IF(OR($B17="",X$3=""),"",IF('Mass Ion Calculations'!$D$6="Yes",IF('Mass Ion Calculations'!$D$7="Yes",'Mass Ion Calculations'!$D$18+'AA Exact Masses'!$Q$2-'Mass Ion Calculations'!$C$26-'Mass Ion Calculations'!$C18-'Mass Ion Calculations'!$D$5,'Mass Ion Calculations'!$F$18+'AA Exact Masses'!$Q$2-'Mass Ion Calculations'!$E$26-'Mass Ion Calculations'!#REF!-'Mass Ion Calculations'!$D$5),IF('Mass Ion Calculations'!$D$7="Yes", 'Mass Ion Calculations'!$D$15+'AA Exact Masses'!$Q$2-'Mass Ion Calculations'!$C$26-'Mass Ion Calculations'!$C18-'Mass Ion Calculations'!$D$5,'Mass Ion Calculations'!$F$15+'AA Exact Masses'!$Q$2-'Mass Ion Calculations'!$E$26-'Mass Ion Calculations'!#REF!-'Mass Ion Calculations'!$D$5)))</f>
        <v/>
      </c>
      <c r="Y17" s="3" t="str">
        <f>IF(OR($B17="",Y$3=""),"",IF('Mass Ion Calculations'!$D$6="Yes",IF('Mass Ion Calculations'!$D$7="Yes",'Mass Ion Calculations'!$D$18+'AA Exact Masses'!$Q$2-'Mass Ion Calculations'!$C$27-'Mass Ion Calculations'!$C18-'Mass Ion Calculations'!$D$5,'Mass Ion Calculations'!$F$18+'AA Exact Masses'!$Q$2-'Mass Ion Calculations'!$E$27-'Mass Ion Calculations'!#REF!-'Mass Ion Calculations'!$D$5),IF('Mass Ion Calculations'!$D$7="Yes", 'Mass Ion Calculations'!$D$15+'AA Exact Masses'!$Q$2-'Mass Ion Calculations'!$C$27-'Mass Ion Calculations'!$C18-'Mass Ion Calculations'!$D$5,'Mass Ion Calculations'!$F$15+'AA Exact Masses'!$Q$2-'Mass Ion Calculations'!$E$27-'Mass Ion Calculations'!#REF!-'Mass Ion Calculations'!$D$5)))</f>
        <v/>
      </c>
      <c r="Z17" s="3" t="str">
        <f>IF(OR($B17="",Z$3=""),"",IF('Mass Ion Calculations'!$D$6="Yes",IF('Mass Ion Calculations'!$D$7="Yes",'Mass Ion Calculations'!$D$18+'AA Exact Masses'!$Q$2-'Mass Ion Calculations'!$C$28-'Mass Ion Calculations'!$C18-'Mass Ion Calculations'!$D$5,'Mass Ion Calculations'!$F$18+'AA Exact Masses'!$Q$2-'Mass Ion Calculations'!$E$2-'Mass Ion Calculations'!#REF!-'Mass Ion Calculations'!$D$5),IF('Mass Ion Calculations'!$D$7="Yes", 'Mass Ion Calculations'!$D$15+'AA Exact Masses'!$Q$2-'Mass Ion Calculations'!$C$28-'Mass Ion Calculations'!$C18-'Mass Ion Calculations'!$D$5,'Mass Ion Calculations'!$F$15+'AA Exact Masses'!$Q$2-'Mass Ion Calculations'!$E$2-'Mass Ion Calculations'!#REF!-'Mass Ion Calculations'!$D$5)))</f>
        <v/>
      </c>
    </row>
    <row r="18" spans="2:26" x14ac:dyDescent="0.25">
      <c r="B18" s="4" t="str">
        <f>IF('Mass Ion Calculations'!B19="","",'Mass Ion Calculations'!B19)</f>
        <v>Val</v>
      </c>
      <c r="C18" s="3">
        <f>IF(OR($B18="",C$3=""),"",IF('Mass Ion Calculations'!$D$6="Yes",IF('Mass Ion Calculations'!$D$7="Yes",'Mass Ion Calculations'!$D$18+'AA Exact Masses'!$Q$2-'Mass Ion Calculations'!$C$5-'Mass Ion Calculations'!$C19-'Mass Ion Calculations'!$D$5,'Mass Ion Calculations'!$F$18+'AA Exact Masses'!$Q$2-'Mass Ion Calculations'!$E$5-'Mass Ion Calculations'!E19-'Mass Ion Calculations'!$D$5),IF('Mass Ion Calculations'!$D$7="Yes", 'Mass Ion Calculations'!$D$15+'AA Exact Masses'!$Q$2-'Mass Ion Calculations'!$C$5-'Mass Ion Calculations'!$C19-'Mass Ion Calculations'!$D$5,'Mass Ion Calculations'!$F$15+'AA Exact Masses'!$Q$2-'Mass Ion Calculations'!$E$5-'Mass Ion Calculations'!E19-'Mass Ion Calculations'!$D$5)))</f>
        <v>410.78543999999988</v>
      </c>
      <c r="D18" s="3">
        <f>IF(OR($B18="",D$3=""),"",IF('Mass Ion Calculations'!$D$6="Yes",IF('Mass Ion Calculations'!$D$7="Yes",'Mass Ion Calculations'!$D$18+'AA Exact Masses'!$Q$2-'Mass Ion Calculations'!$C$6-'Mass Ion Calculations'!$C19-'Mass Ion Calculations'!$D$5,'Mass Ion Calculations'!$F$18+'AA Exact Masses'!$Q$2-'Mass Ion Calculations'!$E$6-'Mass Ion Calculations'!E19-'Mass Ion Calculations'!$D$5),IF('Mass Ion Calculations'!$D$7="Yes", 'Mass Ion Calculations'!$D$15+'AA Exact Masses'!$Q$2-'Mass Ion Calculations'!$C$6-'Mass Ion Calculations'!$C19-'Mass Ion Calculations'!$D$5,'Mass Ion Calculations'!$F$15+'AA Exact Masses'!$Q$2-'Mass Ion Calculations'!$E$6-'Mass Ion Calculations'!E19-'Mass Ion Calculations'!$D$5)))</f>
        <v>453.82764999999995</v>
      </c>
      <c r="E18" s="3">
        <f>IF(OR($B18="",E$3=""),"",IF('Mass Ion Calculations'!$D$6="Yes",IF('Mass Ion Calculations'!$D$7="Yes",'Mass Ion Calculations'!$D$18+'AA Exact Masses'!$Q$2-'Mass Ion Calculations'!$C$7-'Mass Ion Calculations'!$C19-'Mass Ion Calculations'!$D$5,'Mass Ion Calculations'!$F$18+'AA Exact Masses'!$Q$2-'Mass Ion Calculations'!$E$7-'Mass Ion Calculations'!$E19-'Mass Ion Calculations'!$D$5),IF('Mass Ion Calculations'!$D$7="Yes", 'Mass Ion Calculations'!$D$15+'AA Exact Masses'!$Q$2-'Mass Ion Calculations'!$C$7-'Mass Ion Calculations'!$C19-'Mass Ion Calculations'!$D$5,'Mass Ion Calculations'!$F$15+'AA Exact Masses'!$Q$2-'Mass Ion Calculations'!$E$7-'Mass Ion Calculations'!$E19-'Mass Ion Calculations'!$D$5)))</f>
        <v>411.78070000000002</v>
      </c>
      <c r="F18" s="3">
        <f>IF(OR($B18="",F$3=""),"",IF('Mass Ion Calculations'!$D$6="Yes",IF('Mass Ion Calculations'!$D$7="Yes",'Mass Ion Calculations'!$D$18+'AA Exact Masses'!$Q$2-'Mass Ion Calculations'!$C$8-'Mass Ion Calculations'!$C19-'Mass Ion Calculations'!$D$5,'Mass Ion Calculations'!$F$18+'AA Exact Masses'!$Q$2-'Mass Ion Calculations'!$E$8-'Mass Ion Calculations'!$E19-'Mass Ion Calculations'!$D$5),IF('Mass Ion Calculations'!$D$7="Yes", 'Mass Ion Calculations'!$D$15+'AA Exact Masses'!$Q$2-'Mass Ion Calculations'!$C$8-'Mass Ion Calculations'!$C19-'Mass Ion Calculations'!$D$5,'Mass Ion Calculations'!$F$15+'AA Exact Masses'!$Q$2-'Mass Ion Calculations'!$E$8-'Mass Ion Calculations'!$E19-'Mass Ion Calculations'!$D$5)))</f>
        <v>411.78070000000002</v>
      </c>
      <c r="G18" s="3">
        <f>IF(OR($B18="",G$3=""),"",IF('Mass Ion Calculations'!$D$6="Yes",IF('Mass Ion Calculations'!$D$7="Yes",'Mass Ion Calculations'!$D$18+'AA Exact Masses'!$Q$2-'Mass Ion Calculations'!$C$9-'Mass Ion Calculations'!$C19-'Mass Ion Calculations'!$D$5,'Mass Ion Calculations'!$F$18+'AA Exact Masses'!$Q$2-'Mass Ion Calculations'!$E$9-'Mass Ion Calculations'!$E19-'Mass Ion Calculations'!$D$5),IF('Mass Ion Calculations'!$D$7="Yes", 'Mass Ion Calculations'!$D$15+'AA Exact Masses'!$Q$2-'Mass Ion Calculations'!$C$9-'Mass Ion Calculations'!$C19-'Mass Ion Calculations'!$D$5,'Mass Ion Calculations'!$F$15+'AA Exact Masses'!$Q$2-'Mass Ion Calculations'!$E$9-'Mass Ion Calculations'!$E19-'Mass Ion Calculations'!$D$5)))</f>
        <v>453.82764999999995</v>
      </c>
      <c r="H18" s="3">
        <f>IF(OR($B18="",H$3=""),"",IF('Mass Ion Calculations'!$D$6="Yes",IF('Mass Ion Calculations'!$D$7="Yes",'Mass Ion Calculations'!$D$18+'AA Exact Masses'!$Q$2-'Mass Ion Calculations'!$C$10-'Mass Ion Calculations'!$C19-'Mass Ion Calculations'!$D$5,'Mass Ion Calculations'!$F$18+'AA Exact Masses'!$Q$2-'Mass Ion Calculations'!$E$10-'Mass Ion Calculations'!$E19-'Mass Ion Calculations'!$D$5),IF('Mass Ion Calculations'!$D$7="Yes", 'Mass Ion Calculations'!$D$15+'AA Exact Masses'!$Q$2-'Mass Ion Calculations'!$C$10-'Mass Ion Calculations'!$C19-'Mass Ion Calculations'!$D$5,'Mass Ion Calculations'!$F$15+'AA Exact Masses'!$Q$2-'Mass Ion Calculations'!$E$10-'Mass Ion Calculations'!$E19-'Mass Ion Calculations'!$D$5)))</f>
        <v>411.78070000000002</v>
      </c>
      <c r="I18" s="3">
        <f>IF(OR($B18="",I$3=""),"",IF('Mass Ion Calculations'!$D$6="Yes",IF('Mass Ion Calculations'!$D$7="Yes",'Mass Ion Calculations'!$D$18+'AA Exact Masses'!$Q$2-'Mass Ion Calculations'!$C$11-'Mass Ion Calculations'!$C19-'Mass Ion Calculations'!$D$5,'Mass Ion Calculations'!$F$18+'AA Exact Masses'!$Q$2-'Mass Ion Calculations'!$E$11-'Mass Ion Calculations'!$E19-'Mass Ion Calculations'!$D$5),IF('Mass Ion Calculations'!$D$7="Yes", 'Mass Ion Calculations'!$D$15+'AA Exact Masses'!$Q$2-'Mass Ion Calculations'!$C$11-'Mass Ion Calculations'!$C19-'Mass Ion Calculations'!$D$5,'Mass Ion Calculations'!$F$15+'AA Exact Masses'!$Q$2-'Mass Ion Calculations'!$E$11-'Mass Ion Calculations'!$E19-'Mass Ion Calculations'!$D$5)))</f>
        <v>410.78543999999988</v>
      </c>
      <c r="J18" s="3">
        <f>IF(OR($B18="",J$3=""),"",IF('Mass Ion Calculations'!$D$6="Yes",IF('Mass Ion Calculations'!$D$7="Yes",'Mass Ion Calculations'!$D$18+'AA Exact Masses'!$Q$2-'Mass Ion Calculations'!$C$12-'Mass Ion Calculations'!$C19-'Mass Ion Calculations'!$D$5,'Mass Ion Calculations'!$F$18+'AA Exact Masses'!$Q$2-'Mass Ion Calculations'!$E$12-'Mass Ion Calculations'!$E19-'Mass Ion Calculations'!$D$5),IF('Mass Ion Calculations'!$D$7="Yes", 'Mass Ion Calculations'!$D$15+'AA Exact Masses'!$Q$2-'Mass Ion Calculations'!$C$12-'Mass Ion Calculations'!$C19-'Mass Ion Calculations'!$D$5,'Mass Ion Calculations'!$F$15+'AA Exact Masses'!$Q$2-'Mass Ion Calculations'!$E$12-'Mass Ion Calculations'!$E19-'Mass Ion Calculations'!$D$5)))</f>
        <v>425.79634999999985</v>
      </c>
      <c r="K18" s="3">
        <f>IF(OR($B18="",K$3=""),"",IF('Mass Ion Calculations'!$D$6="Yes",IF('Mass Ion Calculations'!$D$7="Yes",'Mass Ion Calculations'!$D$18+'AA Exact Masses'!$Q$2-'Mass Ion Calculations'!$C$13-'Mass Ion Calculations'!$C19-'Mass Ion Calculations'!$D$5,'Mass Ion Calculations'!$F$18+'AA Exact Masses'!$Q$2-'Mass Ion Calculations'!$E$14-'Mass Ion Calculations'!$E19-'Mass Ion Calculations'!$D$5),IF('Mass Ion Calculations'!$D$7="Yes", 'Mass Ion Calculations'!$D$15+'AA Exact Masses'!$Q$2-'Mass Ion Calculations'!$C$13-'Mass Ion Calculations'!$C19-'Mass Ion Calculations'!$D$5,'Mass Ion Calculations'!$F$15+'AA Exact Masses'!$Q$2-'Mass Ion Calculations'!$E$14-'Mass Ion Calculations'!$E19-'Mass Ion Calculations'!$D$5)))</f>
        <v>395.82216999999991</v>
      </c>
      <c r="L18" s="3">
        <f>IF(OR($B18="",L$3=""),"",IF('Mass Ion Calculations'!$D$6="Yes",IF('Mass Ion Calculations'!$D$7="Yes",'Mass Ion Calculations'!$D$18+'AA Exact Masses'!$Q$2-'Mass Ion Calculations'!$C$14-'Mass Ion Calculations'!$C19-'Mass Ion Calculations'!$D$5,'Mass Ion Calculations'!$F$18+'AA Exact Masses'!$Q$2-'Mass Ion Calculations'!$E$15-'Mass Ion Calculations'!$E19-'Mass Ion Calculations'!$D$5),IF('Mass Ion Calculations'!$D$7="Yes", 'Mass Ion Calculations'!$D$15+'AA Exact Masses'!$Q$2-'Mass Ion Calculations'!$C$14-'Mass Ion Calculations'!$C19-'Mass Ion Calculations'!$D$5,'Mass Ion Calculations'!$F$15+'AA Exact Masses'!$Q$2-'Mass Ion Calculations'!$E$15-'Mass Ion Calculations'!$E19-'Mass Ion Calculations'!$D$5)))</f>
        <v>409.83781999999997</v>
      </c>
      <c r="M18" s="3">
        <f>IF(OR($B18="",M$3=""),"",IF('Mass Ion Calculations'!$D$6="Yes",IF('Mass Ion Calculations'!$D$7="Yes",'Mass Ion Calculations'!$D$18+'AA Exact Masses'!$Q$2-'Mass Ion Calculations'!$C$15-'Mass Ion Calculations'!$C19-'Mass Ion Calculations'!$D$5,'Mass Ion Calculations'!$F$18+'AA Exact Masses'!$Q$2-'Mass Ion Calculations'!$E$16-'Mass Ion Calculations'!$E19-'Mass Ion Calculations'!$D$5),IF('Mass Ion Calculations'!$D$7="Yes", 'Mass Ion Calculations'!$D$15+'AA Exact Masses'!$Q$2-'Mass Ion Calculations'!$C$15-'Mass Ion Calculations'!$C19-'Mass Ion Calculations'!$D$5,'Mass Ion Calculations'!$F$15+'AA Exact Masses'!$Q$2-'Mass Ion Calculations'!$E$16-'Mass Ion Calculations'!$E19-'Mass Ion Calculations'!$D$5)))</f>
        <v>453.82764999999995</v>
      </c>
      <c r="N18" s="3">
        <f>IF(OR($B18="",N$3=""),"",IF('Mass Ion Calculations'!$D$6="Yes",IF('Mass Ion Calculations'!$D$7="Yes",'Mass Ion Calculations'!$D$18+'AA Exact Masses'!$Q$2-'Mass Ion Calculations'!$C$16-'Mass Ion Calculations'!$C19-'Mass Ion Calculations'!$D$5,'Mass Ion Calculations'!$F$18+'AA Exact Masses'!$Q$2-'Mass Ion Calculations'!$E$17-'Mass Ion Calculations'!$E19-'Mass Ion Calculations'!$D$5),IF('Mass Ion Calculations'!$D$7="Yes", 'Mass Ion Calculations'!$D$15+'AA Exact Masses'!$Q$2-'Mass Ion Calculations'!$C$16-'Mass Ion Calculations'!$C19-'Mass Ion Calculations'!$D$5,'Mass Ion Calculations'!$F$15+'AA Exact Masses'!$Q$2-'Mass Ion Calculations'!$E$17-'Mass Ion Calculations'!$E19-'Mass Ion Calculations'!$D$5)))</f>
        <v>377.79634999999985</v>
      </c>
      <c r="O18" s="3">
        <f>IF(OR($B18="",O$3=""),"",IF('Mass Ion Calculations'!$D$6="Yes",IF('Mass Ion Calculations'!$D$7="Yes",'Mass Ion Calculations'!$D$18+'AA Exact Masses'!$Q$2-'Mass Ion Calculations'!$C$17-'Mass Ion Calculations'!$C19-'Mass Ion Calculations'!$D$5,'Mass Ion Calculations'!$F$18+'AA Exact Masses'!$Q$2-'Mass Ion Calculations'!$E$18-'Mass Ion Calculations'!$E19-'Mass Ion Calculations'!$D$5),IF('Mass Ion Calculations'!$D$7="Yes", 'Mass Ion Calculations'!$D$15+'AA Exact Masses'!$Q$2-'Mass Ion Calculations'!$C$17-'Mass Ion Calculations'!$C19-'Mass Ion Calculations'!$D$5,'Mass Ion Calculations'!$F$15+'AA Exact Masses'!$Q$2-'Mass Ion Calculations'!$E$18-'Mass Ion Calculations'!$E19-'Mass Ion Calculations'!$D$5)))</f>
        <v>251.89969999999994</v>
      </c>
      <c r="P18" s="3">
        <f>IF(OR($B18="",P$3=""),"",IF('Mass Ion Calculations'!$D$6="Yes",IF('Mass Ion Calculations'!$D$7="Yes",'Mass Ion Calculations'!$D$18+'AA Exact Masses'!$Q$2-'Mass Ion Calculations'!$C$19-'Mass Ion Calculations'!$C19-'Mass Ion Calculations'!$D$5,'Mass Ion Calculations'!$F$18+'AA Exact Masses'!$Q$2-'Mass Ion Calculations'!$E$19-'Mass Ion Calculations'!$E19-'Mass Ion Calculations'!$D$5),IF('Mass Ion Calculations'!$D$7="Yes", 'Mass Ion Calculations'!$D$15+'AA Exact Masses'!$Q$2-'Mass Ion Calculations'!$C$19-'Mass Ion Calculations'!$C19-'Mass Ion Calculations'!$D$5,'Mass Ion Calculations'!$F$15+'AA Exact Masses'!$Q$2-'Mass Ion Calculations'!$E$19-'Mass Ion Calculations'!$E19-'Mass Ion Calculations'!$D$5)))</f>
        <v>425.79634999999985</v>
      </c>
      <c r="Q18" s="3">
        <f>IF(OR($B18="",Q$3=""),"",IF('Mass Ion Calculations'!$D$6="Yes",IF('Mass Ion Calculations'!$D$7="Yes",'Mass Ion Calculations'!$D$18+'AA Exact Masses'!$Q$2-'Mass Ion Calculations'!$C$20-'Mass Ion Calculations'!$C19-'Mass Ion Calculations'!$D$5,'Mass Ion Calculations'!$F$18+'AA Exact Masses'!$Q$2-'Mass Ion Calculations'!$E$20-'Mass Ion Calculations'!$E19-'Mass Ion Calculations'!$D$5),IF('Mass Ion Calculations'!$D$7="Yes", 'Mass Ion Calculations'!$D$15+'AA Exact Masses'!$Q$2-'Mass Ion Calculations'!$C$20-'Mass Ion Calculations'!$C19-'Mass Ion Calculations'!$D$5,'Mass Ion Calculations'!$F$15+'AA Exact Masses'!$Q$2-'Mass Ion Calculations'!$E$20-'Mass Ion Calculations'!$E19-'Mass Ion Calculations'!$D$5)))</f>
        <v>411.78070000000002</v>
      </c>
      <c r="R18" s="3" t="e">
        <f>IF(OR($B18="",R$3=""),"",IF('Mass Ion Calculations'!$D$6="Yes",IF('Mass Ion Calculations'!$D$7="Yes",'Mass Ion Calculations'!$D$18+'AA Exact Masses'!$Q$2-'Mass Ion Calculations'!$C$21-'Mass Ion Calculations'!$C19-'Mass Ion Calculations'!$D$5,'Mass Ion Calculations'!$F$18+'AA Exact Masses'!$Q$2-'Mass Ion Calculations'!$E$21-'Mass Ion Calculations'!$E19-'Mass Ion Calculations'!$D$5),IF('Mass Ion Calculations'!$D$7="Yes", 'Mass Ion Calculations'!$D$15+'AA Exact Masses'!$Q$2-'Mass Ion Calculations'!$C$21-'Mass Ion Calculations'!$C19-'Mass Ion Calculations'!$D$5,'Mass Ion Calculations'!$F$15+'AA Exact Masses'!$Q$2-'Mass Ion Calculations'!$E$21-'Mass Ion Calculations'!$E19-'Mass Ion Calculations'!$D$5)))</f>
        <v>#VALUE!</v>
      </c>
      <c r="S18" s="3" t="str">
        <f>IF(OR($B18="",S$3=""),"",IF('Mass Ion Calculations'!$D$6="Yes",IF('Mass Ion Calculations'!$D$7="Yes",'Mass Ion Calculations'!$D$18+'AA Exact Masses'!$Q$2-'Mass Ion Calculations'!$C$21-'Mass Ion Calculations'!$C19-'Mass Ion Calculations'!$D$5,'Mass Ion Calculations'!$F$18+'AA Exact Masses'!$Q$2-'Mass Ion Calculations'!$E$21-'Mass Ion Calculations'!$E19-'Mass Ion Calculations'!$D$5),IF('Mass Ion Calculations'!$D$7="Yes", 'Mass Ion Calculations'!$D$15+'AA Exact Masses'!$Q$2-'Mass Ion Calculations'!$C$21-'Mass Ion Calculations'!$C19-'Mass Ion Calculations'!$D$5,'Mass Ion Calculations'!$F$15+'AA Exact Masses'!$Q$2-'Mass Ion Calculations'!$E$21-'Mass Ion Calculations'!$E19-'Mass Ion Calculations'!$D$5)))</f>
        <v/>
      </c>
      <c r="T18" s="3" t="e">
        <f>IF(OR($B18="",T$3=""),"",IF('Mass Ion Calculations'!$D$6="Yes",IF('Mass Ion Calculations'!$D$7="Yes",'Mass Ion Calculations'!$D$18+'AA Exact Masses'!$Q$2-'Mass Ion Calculations'!$C$22-'Mass Ion Calculations'!$C19-'Mass Ion Calculations'!$D$5,'Mass Ion Calculations'!$F$18+'AA Exact Masses'!$Q$2-'Mass Ion Calculations'!$E$22-'Mass Ion Calculations'!$E19-'Mass Ion Calculations'!$D$5),IF('Mass Ion Calculations'!$D$7="Yes", 'Mass Ion Calculations'!$D$15+'AA Exact Masses'!$Q$2-'Mass Ion Calculations'!$C$22-'Mass Ion Calculations'!$C19-'Mass Ion Calculations'!$D$5,'Mass Ion Calculations'!$F$15+'AA Exact Masses'!$Q$2-'Mass Ion Calculations'!$E$22-'Mass Ion Calculations'!$E19-'Mass Ion Calculations'!$D$5)))</f>
        <v>#VALUE!</v>
      </c>
      <c r="U18" s="3" t="e">
        <f>IF(OR($B18="",U$3=""),"",IF('Mass Ion Calculations'!$D$6="Yes",IF('Mass Ion Calculations'!$D$7="Yes",'Mass Ion Calculations'!$D$18+'AA Exact Masses'!$Q$2-'Mass Ion Calculations'!$C$23-'Mass Ion Calculations'!$C19-'Mass Ion Calculations'!$D$5,'Mass Ion Calculations'!$F$18+'AA Exact Masses'!$Q$2-'Mass Ion Calculations'!$E$23-'Mass Ion Calculations'!$E19-'Mass Ion Calculations'!$D$5),IF('Mass Ion Calculations'!$D$7="Yes", 'Mass Ion Calculations'!$D$15+'AA Exact Masses'!$Q$2-'Mass Ion Calculations'!$C$23-'Mass Ion Calculations'!$C19-'Mass Ion Calculations'!$D$5,'Mass Ion Calculations'!$F$15+'AA Exact Masses'!$Q$2-'Mass Ion Calculations'!$E$23-'Mass Ion Calculations'!$E19-'Mass Ion Calculations'!$D$5)))</f>
        <v>#VALUE!</v>
      </c>
      <c r="V18" s="3" t="str">
        <f>IF(OR($B18="",V$3=""),"",IF('Mass Ion Calculations'!$D$6="Yes",IF('Mass Ion Calculations'!$D$7="Yes",'Mass Ion Calculations'!$D$18+'AA Exact Masses'!$Q$2-'Mass Ion Calculations'!$C$24-'Mass Ion Calculations'!$C19-'Mass Ion Calculations'!$D$5,'Mass Ion Calculations'!$F$18+'AA Exact Masses'!$Q$2-'Mass Ion Calculations'!$E$24-'Mass Ion Calculations'!$E19-'Mass Ion Calculations'!$D$5),IF('Mass Ion Calculations'!$D$7="Yes", 'Mass Ion Calculations'!$D$15+'AA Exact Masses'!$Q$2-'Mass Ion Calculations'!$C$24-'Mass Ion Calculations'!$C19-'Mass Ion Calculations'!$D$5,'Mass Ion Calculations'!$F$15+'AA Exact Masses'!$Q$2-'Mass Ion Calculations'!$E$24-'Mass Ion Calculations'!$E19-'Mass Ion Calculations'!$D$5)))</f>
        <v/>
      </c>
      <c r="W18" s="3" t="str">
        <f>IF(OR($B18="",W$3=""),"",IF('Mass Ion Calculations'!$D$6="Yes",IF('Mass Ion Calculations'!$D$7="Yes",'Mass Ion Calculations'!$D$18+'AA Exact Masses'!$Q$2-'Mass Ion Calculations'!$C$25-'Mass Ion Calculations'!$C19-'Mass Ion Calculations'!$D$5,'Mass Ion Calculations'!$F$18+'AA Exact Masses'!$Q$2-'Mass Ion Calculations'!$E$25-'Mass Ion Calculations'!$E19-'Mass Ion Calculations'!$D$5),IF('Mass Ion Calculations'!$D$7="Yes", 'Mass Ion Calculations'!$D$15+'AA Exact Masses'!$Q$2-'Mass Ion Calculations'!$C$25-'Mass Ion Calculations'!$C19-'Mass Ion Calculations'!$D$5,'Mass Ion Calculations'!$F$15+'AA Exact Masses'!$Q$2-'Mass Ion Calculations'!$E$25-'Mass Ion Calculations'!$E19-'Mass Ion Calculations'!$D$5)))</f>
        <v/>
      </c>
      <c r="X18" s="3" t="str">
        <f>IF(OR($B18="",X$3=""),"",IF('Mass Ion Calculations'!$D$6="Yes",IF('Mass Ion Calculations'!$D$7="Yes",'Mass Ion Calculations'!$D$18+'AA Exact Masses'!$Q$2-'Mass Ion Calculations'!$C$26-'Mass Ion Calculations'!$C19-'Mass Ion Calculations'!$D$5,'Mass Ion Calculations'!$F$18+'AA Exact Masses'!$Q$2-'Mass Ion Calculations'!$E$26-'Mass Ion Calculations'!$E19-'Mass Ion Calculations'!$D$5),IF('Mass Ion Calculations'!$D$7="Yes", 'Mass Ion Calculations'!$D$15+'AA Exact Masses'!$Q$2-'Mass Ion Calculations'!$C$26-'Mass Ion Calculations'!$C19-'Mass Ion Calculations'!$D$5,'Mass Ion Calculations'!$F$15+'AA Exact Masses'!$Q$2-'Mass Ion Calculations'!$E$26-'Mass Ion Calculations'!$E19-'Mass Ion Calculations'!$D$5)))</f>
        <v/>
      </c>
      <c r="Y18" s="3" t="str">
        <f>IF(OR($B18="",Y$3=""),"",IF('Mass Ion Calculations'!$D$6="Yes",IF('Mass Ion Calculations'!$D$7="Yes",'Mass Ion Calculations'!$D$18+'AA Exact Masses'!$Q$2-'Mass Ion Calculations'!$C$27-'Mass Ion Calculations'!$C19-'Mass Ion Calculations'!$D$5,'Mass Ion Calculations'!$F$18+'AA Exact Masses'!$Q$2-'Mass Ion Calculations'!$E$27-'Mass Ion Calculations'!$E19-'Mass Ion Calculations'!$D$5),IF('Mass Ion Calculations'!$D$7="Yes", 'Mass Ion Calculations'!$D$15+'AA Exact Masses'!$Q$2-'Mass Ion Calculations'!$C$27-'Mass Ion Calculations'!$C19-'Mass Ion Calculations'!$D$5,'Mass Ion Calculations'!$F$15+'AA Exact Masses'!$Q$2-'Mass Ion Calculations'!$E$27-'Mass Ion Calculations'!$E19-'Mass Ion Calculations'!$D$5)))</f>
        <v/>
      </c>
      <c r="Z18" s="3" t="str">
        <f>IF(OR($B18="",Z$3=""),"",IF('Mass Ion Calculations'!$D$6="Yes",IF('Mass Ion Calculations'!$D$7="Yes",'Mass Ion Calculations'!$D$18+'AA Exact Masses'!$Q$2-'Mass Ion Calculations'!$C$28-'Mass Ion Calculations'!$C19-'Mass Ion Calculations'!$D$5,'Mass Ion Calculations'!$F$18+'AA Exact Masses'!$Q$2-'Mass Ion Calculations'!$E$2-'Mass Ion Calculations'!$E19-'Mass Ion Calculations'!$D$5),IF('Mass Ion Calculations'!$D$7="Yes", 'Mass Ion Calculations'!$D$15+'AA Exact Masses'!$Q$2-'Mass Ion Calculations'!$C$28-'Mass Ion Calculations'!$C19-'Mass Ion Calculations'!$D$5,'Mass Ion Calculations'!$F$15+'AA Exact Masses'!$Q$2-'Mass Ion Calculations'!$E$2-'Mass Ion Calculations'!$E19-'Mass Ion Calculations'!$D$5)))</f>
        <v/>
      </c>
    </row>
    <row r="19" spans="2:26" x14ac:dyDescent="0.25">
      <c r="B19" s="4" t="str">
        <f>IF('Mass Ion Calculations'!B20="","",'Mass Ion Calculations'!B20)</f>
        <v>Leu</v>
      </c>
      <c r="C19" s="3">
        <f>IF(OR($B19="",C$3=""),"",IF('Mass Ion Calculations'!$D$6="Yes",IF('Mass Ion Calculations'!$D$7="Yes",'Mass Ion Calculations'!$D$18+'AA Exact Masses'!$Q$2-'Mass Ion Calculations'!$C$5-'Mass Ion Calculations'!$C20-'Mass Ion Calculations'!$D$5,'Mass Ion Calculations'!$F$18+'AA Exact Masses'!$Q$2-'Mass Ion Calculations'!$E$5-'Mass Ion Calculations'!E20-'Mass Ion Calculations'!$D$5),IF('Mass Ion Calculations'!$D$7="Yes", 'Mass Ion Calculations'!$D$15+'AA Exact Masses'!$Q$2-'Mass Ion Calculations'!$C$5-'Mass Ion Calculations'!$C20-'Mass Ion Calculations'!$D$5,'Mass Ion Calculations'!$F$15+'AA Exact Masses'!$Q$2-'Mass Ion Calculations'!$E$5-'Mass Ion Calculations'!E20-'Mass Ion Calculations'!$D$5)))</f>
        <v>396.76979000000006</v>
      </c>
      <c r="D19" s="3">
        <f>IF(OR($B19="",D$3=""),"",IF('Mass Ion Calculations'!$D$6="Yes",IF('Mass Ion Calculations'!$D$7="Yes",'Mass Ion Calculations'!$D$18+'AA Exact Masses'!$Q$2-'Mass Ion Calculations'!$C$6-'Mass Ion Calculations'!$C20-'Mass Ion Calculations'!$D$5,'Mass Ion Calculations'!$F$18+'AA Exact Masses'!$Q$2-'Mass Ion Calculations'!$E$6-'Mass Ion Calculations'!E20-'Mass Ion Calculations'!$D$5),IF('Mass Ion Calculations'!$D$7="Yes", 'Mass Ion Calculations'!$D$15+'AA Exact Masses'!$Q$2-'Mass Ion Calculations'!$C$6-'Mass Ion Calculations'!$C20-'Mass Ion Calculations'!$D$5,'Mass Ion Calculations'!$F$15+'AA Exact Masses'!$Q$2-'Mass Ion Calculations'!$E$6-'Mass Ion Calculations'!E20-'Mass Ion Calculations'!$D$5)))</f>
        <v>439.81200000000013</v>
      </c>
      <c r="E19" s="3">
        <f>IF(OR($B19="",E$3=""),"",IF('Mass Ion Calculations'!$D$6="Yes",IF('Mass Ion Calculations'!$D$7="Yes",'Mass Ion Calculations'!$D$18+'AA Exact Masses'!$Q$2-'Mass Ion Calculations'!$C$7-'Mass Ion Calculations'!$C20-'Mass Ion Calculations'!$D$5,'Mass Ion Calculations'!$F$18+'AA Exact Masses'!$Q$2-'Mass Ion Calculations'!$E$7-'Mass Ion Calculations'!$E20-'Mass Ion Calculations'!$D$5),IF('Mass Ion Calculations'!$D$7="Yes", 'Mass Ion Calculations'!$D$15+'AA Exact Masses'!$Q$2-'Mass Ion Calculations'!$C$7-'Mass Ion Calculations'!$C20-'Mass Ion Calculations'!$D$5,'Mass Ion Calculations'!$F$15+'AA Exact Masses'!$Q$2-'Mass Ion Calculations'!$E$7-'Mass Ion Calculations'!$E20-'Mass Ion Calculations'!$D$5)))</f>
        <v>397.7650500000002</v>
      </c>
      <c r="F19" s="3">
        <f>IF(OR($B19="",F$3=""),"",IF('Mass Ion Calculations'!$D$6="Yes",IF('Mass Ion Calculations'!$D$7="Yes",'Mass Ion Calculations'!$D$18+'AA Exact Masses'!$Q$2-'Mass Ion Calculations'!$C$8-'Mass Ion Calculations'!$C20-'Mass Ion Calculations'!$D$5,'Mass Ion Calculations'!$F$18+'AA Exact Masses'!$Q$2-'Mass Ion Calculations'!$E$8-'Mass Ion Calculations'!$E20-'Mass Ion Calculations'!$D$5),IF('Mass Ion Calculations'!$D$7="Yes", 'Mass Ion Calculations'!$D$15+'AA Exact Masses'!$Q$2-'Mass Ion Calculations'!$C$8-'Mass Ion Calculations'!$C20-'Mass Ion Calculations'!$D$5,'Mass Ion Calculations'!$F$15+'AA Exact Masses'!$Q$2-'Mass Ion Calculations'!$E$8-'Mass Ion Calculations'!$E20-'Mass Ion Calculations'!$D$5)))</f>
        <v>397.7650500000002</v>
      </c>
      <c r="G19" s="3">
        <f>IF(OR($B19="",G$3=""),"",IF('Mass Ion Calculations'!$D$6="Yes",IF('Mass Ion Calculations'!$D$7="Yes",'Mass Ion Calculations'!$D$18+'AA Exact Masses'!$Q$2-'Mass Ion Calculations'!$C$9-'Mass Ion Calculations'!$C20-'Mass Ion Calculations'!$D$5,'Mass Ion Calculations'!$F$18+'AA Exact Masses'!$Q$2-'Mass Ion Calculations'!$E$9-'Mass Ion Calculations'!$E20-'Mass Ion Calculations'!$D$5),IF('Mass Ion Calculations'!$D$7="Yes", 'Mass Ion Calculations'!$D$15+'AA Exact Masses'!$Q$2-'Mass Ion Calculations'!$C$9-'Mass Ion Calculations'!$C20-'Mass Ion Calculations'!$D$5,'Mass Ion Calculations'!$F$15+'AA Exact Masses'!$Q$2-'Mass Ion Calculations'!$E$9-'Mass Ion Calculations'!$E20-'Mass Ion Calculations'!$D$5)))</f>
        <v>439.81200000000013</v>
      </c>
      <c r="H19" s="3">
        <f>IF(OR($B19="",H$3=""),"",IF('Mass Ion Calculations'!$D$6="Yes",IF('Mass Ion Calculations'!$D$7="Yes",'Mass Ion Calculations'!$D$18+'AA Exact Masses'!$Q$2-'Mass Ion Calculations'!$C$10-'Mass Ion Calculations'!$C20-'Mass Ion Calculations'!$D$5,'Mass Ion Calculations'!$F$18+'AA Exact Masses'!$Q$2-'Mass Ion Calculations'!$E$10-'Mass Ion Calculations'!$E20-'Mass Ion Calculations'!$D$5),IF('Mass Ion Calculations'!$D$7="Yes", 'Mass Ion Calculations'!$D$15+'AA Exact Masses'!$Q$2-'Mass Ion Calculations'!$C$10-'Mass Ion Calculations'!$C20-'Mass Ion Calculations'!$D$5,'Mass Ion Calculations'!$F$15+'AA Exact Masses'!$Q$2-'Mass Ion Calculations'!$E$10-'Mass Ion Calculations'!$E20-'Mass Ion Calculations'!$D$5)))</f>
        <v>397.7650500000002</v>
      </c>
      <c r="I19" s="3">
        <f>IF(OR($B19="",I$3=""),"",IF('Mass Ion Calculations'!$D$6="Yes",IF('Mass Ion Calculations'!$D$7="Yes",'Mass Ion Calculations'!$D$18+'AA Exact Masses'!$Q$2-'Mass Ion Calculations'!$C$11-'Mass Ion Calculations'!$C20-'Mass Ion Calculations'!$D$5,'Mass Ion Calculations'!$F$18+'AA Exact Masses'!$Q$2-'Mass Ion Calculations'!$E$11-'Mass Ion Calculations'!$E20-'Mass Ion Calculations'!$D$5),IF('Mass Ion Calculations'!$D$7="Yes", 'Mass Ion Calculations'!$D$15+'AA Exact Masses'!$Q$2-'Mass Ion Calculations'!$C$11-'Mass Ion Calculations'!$C20-'Mass Ion Calculations'!$D$5,'Mass Ion Calculations'!$F$15+'AA Exact Masses'!$Q$2-'Mass Ion Calculations'!$E$11-'Mass Ion Calculations'!$E20-'Mass Ion Calculations'!$D$5)))</f>
        <v>396.76979000000006</v>
      </c>
      <c r="J19" s="3">
        <f>IF(OR($B19="",J$3=""),"",IF('Mass Ion Calculations'!$D$6="Yes",IF('Mass Ion Calculations'!$D$7="Yes",'Mass Ion Calculations'!$D$18+'AA Exact Masses'!$Q$2-'Mass Ion Calculations'!$C$12-'Mass Ion Calculations'!$C20-'Mass Ion Calculations'!$D$5,'Mass Ion Calculations'!$F$18+'AA Exact Masses'!$Q$2-'Mass Ion Calculations'!$E$12-'Mass Ion Calculations'!$E20-'Mass Ion Calculations'!$D$5),IF('Mass Ion Calculations'!$D$7="Yes", 'Mass Ion Calculations'!$D$15+'AA Exact Masses'!$Q$2-'Mass Ion Calculations'!$C$12-'Mass Ion Calculations'!$C20-'Mass Ion Calculations'!$D$5,'Mass Ion Calculations'!$F$15+'AA Exact Masses'!$Q$2-'Mass Ion Calculations'!$E$12-'Mass Ion Calculations'!$E20-'Mass Ion Calculations'!$D$5)))</f>
        <v>411.78070000000002</v>
      </c>
      <c r="K19" s="3">
        <f>IF(OR($B19="",K$3=""),"",IF('Mass Ion Calculations'!$D$6="Yes",IF('Mass Ion Calculations'!$D$7="Yes",'Mass Ion Calculations'!$D$18+'AA Exact Masses'!$Q$2-'Mass Ion Calculations'!$C$13-'Mass Ion Calculations'!$C20-'Mass Ion Calculations'!$D$5,'Mass Ion Calculations'!$F$18+'AA Exact Masses'!$Q$2-'Mass Ion Calculations'!$E$14-'Mass Ion Calculations'!$E20-'Mass Ion Calculations'!$D$5),IF('Mass Ion Calculations'!$D$7="Yes", 'Mass Ion Calculations'!$D$15+'AA Exact Masses'!$Q$2-'Mass Ion Calculations'!$C$13-'Mass Ion Calculations'!$C20-'Mass Ion Calculations'!$D$5,'Mass Ion Calculations'!$F$15+'AA Exact Masses'!$Q$2-'Mass Ion Calculations'!$E$14-'Mass Ion Calculations'!$E20-'Mass Ion Calculations'!$D$5)))</f>
        <v>381.80652000000009</v>
      </c>
      <c r="L19" s="3">
        <f>IF(OR($B19="",L$3=""),"",IF('Mass Ion Calculations'!$D$6="Yes",IF('Mass Ion Calculations'!$D$7="Yes",'Mass Ion Calculations'!$D$18+'AA Exact Masses'!$Q$2-'Mass Ion Calculations'!$C$14-'Mass Ion Calculations'!$C20-'Mass Ion Calculations'!$D$5,'Mass Ion Calculations'!$F$18+'AA Exact Masses'!$Q$2-'Mass Ion Calculations'!$E$15-'Mass Ion Calculations'!$E20-'Mass Ion Calculations'!$D$5),IF('Mass Ion Calculations'!$D$7="Yes", 'Mass Ion Calculations'!$D$15+'AA Exact Masses'!$Q$2-'Mass Ion Calculations'!$C$14-'Mass Ion Calculations'!$C20-'Mass Ion Calculations'!$D$5,'Mass Ion Calculations'!$F$15+'AA Exact Masses'!$Q$2-'Mass Ion Calculations'!$E$15-'Mass Ion Calculations'!$E20-'Mass Ion Calculations'!$D$5)))</f>
        <v>395.82217000000014</v>
      </c>
      <c r="M19" s="3">
        <f>IF(OR($B19="",M$3=""),"",IF('Mass Ion Calculations'!$D$6="Yes",IF('Mass Ion Calculations'!$D$7="Yes",'Mass Ion Calculations'!$D$18+'AA Exact Masses'!$Q$2-'Mass Ion Calculations'!$C$15-'Mass Ion Calculations'!$C20-'Mass Ion Calculations'!$D$5,'Mass Ion Calculations'!$F$18+'AA Exact Masses'!$Q$2-'Mass Ion Calculations'!$E$16-'Mass Ion Calculations'!$E20-'Mass Ion Calculations'!$D$5),IF('Mass Ion Calculations'!$D$7="Yes", 'Mass Ion Calculations'!$D$15+'AA Exact Masses'!$Q$2-'Mass Ion Calculations'!$C$15-'Mass Ion Calculations'!$C20-'Mass Ion Calculations'!$D$5,'Mass Ion Calculations'!$F$15+'AA Exact Masses'!$Q$2-'Mass Ion Calculations'!$E$16-'Mass Ion Calculations'!$E20-'Mass Ion Calculations'!$D$5)))</f>
        <v>439.81200000000013</v>
      </c>
      <c r="N19" s="3">
        <f>IF(OR($B19="",N$3=""),"",IF('Mass Ion Calculations'!$D$6="Yes",IF('Mass Ion Calculations'!$D$7="Yes",'Mass Ion Calculations'!$D$18+'AA Exact Masses'!$Q$2-'Mass Ion Calculations'!$C$16-'Mass Ion Calculations'!$C20-'Mass Ion Calculations'!$D$5,'Mass Ion Calculations'!$F$18+'AA Exact Masses'!$Q$2-'Mass Ion Calculations'!$E$17-'Mass Ion Calculations'!$E20-'Mass Ion Calculations'!$D$5),IF('Mass Ion Calculations'!$D$7="Yes", 'Mass Ion Calculations'!$D$15+'AA Exact Masses'!$Q$2-'Mass Ion Calculations'!$C$16-'Mass Ion Calculations'!$C20-'Mass Ion Calculations'!$D$5,'Mass Ion Calculations'!$F$15+'AA Exact Masses'!$Q$2-'Mass Ion Calculations'!$E$17-'Mass Ion Calculations'!$E20-'Mass Ion Calculations'!$D$5)))</f>
        <v>363.78070000000002</v>
      </c>
      <c r="O19" s="3">
        <f>IF(OR($B19="",O$3=""),"",IF('Mass Ion Calculations'!$D$6="Yes",IF('Mass Ion Calculations'!$D$7="Yes",'Mass Ion Calculations'!$D$18+'AA Exact Masses'!$Q$2-'Mass Ion Calculations'!$C$17-'Mass Ion Calculations'!$C20-'Mass Ion Calculations'!$D$5,'Mass Ion Calculations'!$F$18+'AA Exact Masses'!$Q$2-'Mass Ion Calculations'!$E$18-'Mass Ion Calculations'!$E20-'Mass Ion Calculations'!$D$5),IF('Mass Ion Calculations'!$D$7="Yes", 'Mass Ion Calculations'!$D$15+'AA Exact Masses'!$Q$2-'Mass Ion Calculations'!$C$17-'Mass Ion Calculations'!$C20-'Mass Ion Calculations'!$D$5,'Mass Ion Calculations'!$F$15+'AA Exact Masses'!$Q$2-'Mass Ion Calculations'!$E$18-'Mass Ion Calculations'!$E20-'Mass Ion Calculations'!$D$5)))</f>
        <v>237.88405000000012</v>
      </c>
      <c r="P19" s="3">
        <f>IF(OR($B19="",P$3=""),"",IF('Mass Ion Calculations'!$D$6="Yes",IF('Mass Ion Calculations'!$D$7="Yes",'Mass Ion Calculations'!$D$18+'AA Exact Masses'!$Q$2-'Mass Ion Calculations'!$C$19-'Mass Ion Calculations'!$C20-'Mass Ion Calculations'!$D$5,'Mass Ion Calculations'!$F$18+'AA Exact Masses'!$Q$2-'Mass Ion Calculations'!$E$19-'Mass Ion Calculations'!$E20-'Mass Ion Calculations'!$D$5),IF('Mass Ion Calculations'!$D$7="Yes", 'Mass Ion Calculations'!$D$15+'AA Exact Masses'!$Q$2-'Mass Ion Calculations'!$C$19-'Mass Ion Calculations'!$C20-'Mass Ion Calculations'!$D$5,'Mass Ion Calculations'!$F$15+'AA Exact Masses'!$Q$2-'Mass Ion Calculations'!$E$19-'Mass Ion Calculations'!$E20-'Mass Ion Calculations'!$D$5)))</f>
        <v>411.78070000000002</v>
      </c>
      <c r="Q19" s="3">
        <f>IF(OR($B19="",Q$3=""),"",IF('Mass Ion Calculations'!$D$6="Yes",IF('Mass Ion Calculations'!$D$7="Yes",'Mass Ion Calculations'!$D$18+'AA Exact Masses'!$Q$2-'Mass Ion Calculations'!$C$20-'Mass Ion Calculations'!$C20-'Mass Ion Calculations'!$D$5,'Mass Ion Calculations'!$F$18+'AA Exact Masses'!$Q$2-'Mass Ion Calculations'!$E$20-'Mass Ion Calculations'!$E20-'Mass Ion Calculations'!$D$5),IF('Mass Ion Calculations'!$D$7="Yes", 'Mass Ion Calculations'!$D$15+'AA Exact Masses'!$Q$2-'Mass Ion Calculations'!$C$20-'Mass Ion Calculations'!$C20-'Mass Ion Calculations'!$D$5,'Mass Ion Calculations'!$F$15+'AA Exact Masses'!$Q$2-'Mass Ion Calculations'!$E$20-'Mass Ion Calculations'!$E20-'Mass Ion Calculations'!$D$5)))</f>
        <v>397.7650500000002</v>
      </c>
      <c r="R19" s="3" t="e">
        <f>IF(OR($B19="",R$3=""),"",IF('Mass Ion Calculations'!$D$6="Yes",IF('Mass Ion Calculations'!$D$7="Yes",'Mass Ion Calculations'!$D$18+'AA Exact Masses'!$Q$2-'Mass Ion Calculations'!$C$21-'Mass Ion Calculations'!$C20-'Mass Ion Calculations'!$D$5,'Mass Ion Calculations'!$F$18+'AA Exact Masses'!$Q$2-'Mass Ion Calculations'!$E$21-'Mass Ion Calculations'!$E20-'Mass Ion Calculations'!$D$5),IF('Mass Ion Calculations'!$D$7="Yes", 'Mass Ion Calculations'!$D$15+'AA Exact Masses'!$Q$2-'Mass Ion Calculations'!$C$21-'Mass Ion Calculations'!$C20-'Mass Ion Calculations'!$D$5,'Mass Ion Calculations'!$F$15+'AA Exact Masses'!$Q$2-'Mass Ion Calculations'!$E$21-'Mass Ion Calculations'!$E20-'Mass Ion Calculations'!$D$5)))</f>
        <v>#VALUE!</v>
      </c>
      <c r="S19" s="3" t="str">
        <f>IF(OR($B19="",S$3=""),"",IF('Mass Ion Calculations'!$D$6="Yes",IF('Mass Ion Calculations'!$D$7="Yes",'Mass Ion Calculations'!$D$18+'AA Exact Masses'!$Q$2-'Mass Ion Calculations'!$C$21-'Mass Ion Calculations'!$C20-'Mass Ion Calculations'!$D$5,'Mass Ion Calculations'!$F$18+'AA Exact Masses'!$Q$2-'Mass Ion Calculations'!$E$21-'Mass Ion Calculations'!$E20-'Mass Ion Calculations'!$D$5),IF('Mass Ion Calculations'!$D$7="Yes", 'Mass Ion Calculations'!$D$15+'AA Exact Masses'!$Q$2-'Mass Ion Calculations'!$C$21-'Mass Ion Calculations'!$C20-'Mass Ion Calculations'!$D$5,'Mass Ion Calculations'!$F$15+'AA Exact Masses'!$Q$2-'Mass Ion Calculations'!$E$21-'Mass Ion Calculations'!$E20-'Mass Ion Calculations'!$D$5)))</f>
        <v/>
      </c>
      <c r="T19" s="3" t="e">
        <f>IF(OR($B19="",T$3=""),"",IF('Mass Ion Calculations'!$D$6="Yes",IF('Mass Ion Calculations'!$D$7="Yes",'Mass Ion Calculations'!$D$18+'AA Exact Masses'!$Q$2-'Mass Ion Calculations'!$C$22-'Mass Ion Calculations'!$C20-'Mass Ion Calculations'!$D$5,'Mass Ion Calculations'!$F$18+'AA Exact Masses'!$Q$2-'Mass Ion Calculations'!$E$22-'Mass Ion Calculations'!$E20-'Mass Ion Calculations'!$D$5),IF('Mass Ion Calculations'!$D$7="Yes", 'Mass Ion Calculations'!$D$15+'AA Exact Masses'!$Q$2-'Mass Ion Calculations'!$C$22-'Mass Ion Calculations'!$C20-'Mass Ion Calculations'!$D$5,'Mass Ion Calculations'!$F$15+'AA Exact Masses'!$Q$2-'Mass Ion Calculations'!$E$22-'Mass Ion Calculations'!$E20-'Mass Ion Calculations'!$D$5)))</f>
        <v>#VALUE!</v>
      </c>
      <c r="U19" s="3" t="e">
        <f>IF(OR($B19="",U$3=""),"",IF('Mass Ion Calculations'!$D$6="Yes",IF('Mass Ion Calculations'!$D$7="Yes",'Mass Ion Calculations'!$D$18+'AA Exact Masses'!$Q$2-'Mass Ion Calculations'!$C$23-'Mass Ion Calculations'!$C20-'Mass Ion Calculations'!$D$5,'Mass Ion Calculations'!$F$18+'AA Exact Masses'!$Q$2-'Mass Ion Calculations'!$E$23-'Mass Ion Calculations'!$E20-'Mass Ion Calculations'!$D$5),IF('Mass Ion Calculations'!$D$7="Yes", 'Mass Ion Calculations'!$D$15+'AA Exact Masses'!$Q$2-'Mass Ion Calculations'!$C$23-'Mass Ion Calculations'!$C20-'Mass Ion Calculations'!$D$5,'Mass Ion Calculations'!$F$15+'AA Exact Masses'!$Q$2-'Mass Ion Calculations'!$E$23-'Mass Ion Calculations'!$E20-'Mass Ion Calculations'!$D$5)))</f>
        <v>#VALUE!</v>
      </c>
      <c r="V19" s="3" t="str">
        <f>IF(OR($B19="",V$3=""),"",IF('Mass Ion Calculations'!$D$6="Yes",IF('Mass Ion Calculations'!$D$7="Yes",'Mass Ion Calculations'!$D$18+'AA Exact Masses'!$Q$2-'Mass Ion Calculations'!$C$24-'Mass Ion Calculations'!$C20-'Mass Ion Calculations'!$D$5,'Mass Ion Calculations'!$F$18+'AA Exact Masses'!$Q$2-'Mass Ion Calculations'!$E$24-'Mass Ion Calculations'!$E20-'Mass Ion Calculations'!$D$5),IF('Mass Ion Calculations'!$D$7="Yes", 'Mass Ion Calculations'!$D$15+'AA Exact Masses'!$Q$2-'Mass Ion Calculations'!$C$24-'Mass Ion Calculations'!$C20-'Mass Ion Calculations'!$D$5,'Mass Ion Calculations'!$F$15+'AA Exact Masses'!$Q$2-'Mass Ion Calculations'!$E$24-'Mass Ion Calculations'!$E20-'Mass Ion Calculations'!$D$5)))</f>
        <v/>
      </c>
      <c r="W19" s="3" t="str">
        <f>IF(OR($B19="",W$3=""),"",IF('Mass Ion Calculations'!$D$6="Yes",IF('Mass Ion Calculations'!$D$7="Yes",'Mass Ion Calculations'!$D$18+'AA Exact Masses'!$Q$2-'Mass Ion Calculations'!$C$25-'Mass Ion Calculations'!$C20-'Mass Ion Calculations'!$D$5,'Mass Ion Calculations'!$F$18+'AA Exact Masses'!$Q$2-'Mass Ion Calculations'!$E$25-'Mass Ion Calculations'!$E20-'Mass Ion Calculations'!$D$5),IF('Mass Ion Calculations'!$D$7="Yes", 'Mass Ion Calculations'!$D$15+'AA Exact Masses'!$Q$2-'Mass Ion Calculations'!$C$25-'Mass Ion Calculations'!$C20-'Mass Ion Calculations'!$D$5,'Mass Ion Calculations'!$F$15+'AA Exact Masses'!$Q$2-'Mass Ion Calculations'!$E$25-'Mass Ion Calculations'!$E20-'Mass Ion Calculations'!$D$5)))</f>
        <v/>
      </c>
      <c r="X19" s="3" t="str">
        <f>IF(OR($B19="",X$3=""),"",IF('Mass Ion Calculations'!$D$6="Yes",IF('Mass Ion Calculations'!$D$7="Yes",'Mass Ion Calculations'!$D$18+'AA Exact Masses'!$Q$2-'Mass Ion Calculations'!$C$26-'Mass Ion Calculations'!$C20-'Mass Ion Calculations'!$D$5,'Mass Ion Calculations'!$F$18+'AA Exact Masses'!$Q$2-'Mass Ion Calculations'!$E$26-'Mass Ion Calculations'!$E20-'Mass Ion Calculations'!$D$5),IF('Mass Ion Calculations'!$D$7="Yes", 'Mass Ion Calculations'!$D$15+'AA Exact Masses'!$Q$2-'Mass Ion Calculations'!$C$26-'Mass Ion Calculations'!$C20-'Mass Ion Calculations'!$D$5,'Mass Ion Calculations'!$F$15+'AA Exact Masses'!$Q$2-'Mass Ion Calculations'!$E$26-'Mass Ion Calculations'!$E20-'Mass Ion Calculations'!$D$5)))</f>
        <v/>
      </c>
      <c r="Y19" s="3" t="str">
        <f>IF(OR($B19="",Y$3=""),"",IF('Mass Ion Calculations'!$D$6="Yes",IF('Mass Ion Calculations'!$D$7="Yes",'Mass Ion Calculations'!$D$18+'AA Exact Masses'!$Q$2-'Mass Ion Calculations'!$C$27-'Mass Ion Calculations'!$C20-'Mass Ion Calculations'!$D$5,'Mass Ion Calculations'!$F$18+'AA Exact Masses'!$Q$2-'Mass Ion Calculations'!$E$27-'Mass Ion Calculations'!$E20-'Mass Ion Calculations'!$D$5),IF('Mass Ion Calculations'!$D$7="Yes", 'Mass Ion Calculations'!$D$15+'AA Exact Masses'!$Q$2-'Mass Ion Calculations'!$C$27-'Mass Ion Calculations'!$C20-'Mass Ion Calculations'!$D$5,'Mass Ion Calculations'!$F$15+'AA Exact Masses'!$Q$2-'Mass Ion Calculations'!$E$27-'Mass Ion Calculations'!$E20-'Mass Ion Calculations'!$D$5)))</f>
        <v/>
      </c>
      <c r="Z19" s="3" t="str">
        <f>IF(OR($B19="",Z$3=""),"",IF('Mass Ion Calculations'!$D$6="Yes",IF('Mass Ion Calculations'!$D$7="Yes",'Mass Ion Calculations'!$D$18+'AA Exact Masses'!$Q$2-'Mass Ion Calculations'!$C$28-'Mass Ion Calculations'!$C20-'Mass Ion Calculations'!$D$5,'Mass Ion Calculations'!$F$18+'AA Exact Masses'!$Q$2-'Mass Ion Calculations'!$E$2-'Mass Ion Calculations'!$E20-'Mass Ion Calculations'!$D$5),IF('Mass Ion Calculations'!$D$7="Yes", 'Mass Ion Calculations'!$D$15+'AA Exact Masses'!$Q$2-'Mass Ion Calculations'!$C$28-'Mass Ion Calculations'!$C20-'Mass Ion Calculations'!$D$5,'Mass Ion Calculations'!$F$15+'AA Exact Masses'!$Q$2-'Mass Ion Calculations'!$E$2-'Mass Ion Calculations'!$E20-'Mass Ion Calculations'!$D$5)))</f>
        <v/>
      </c>
    </row>
    <row r="20" spans="2:26" x14ac:dyDescent="0.25">
      <c r="B20" s="4" t="str">
        <f>IF('Mass Ion Calculations'!B21="","",'Mass Ion Calculations'!B21)</f>
        <v/>
      </c>
      <c r="C20" s="3" t="str">
        <f>IF(OR($B20="",C$3=""),"",IF('Mass Ion Calculations'!$D$6="Yes",IF('Mass Ion Calculations'!$D$7="Yes",'Mass Ion Calculations'!$D$18+'AA Exact Masses'!$Q$2-'Mass Ion Calculations'!$C$5-'Mass Ion Calculations'!$C21-'Mass Ion Calculations'!$D$5,'Mass Ion Calculations'!$F$18+'AA Exact Masses'!$Q$2-'Mass Ion Calculations'!$E$5-'Mass Ion Calculations'!E21-'Mass Ion Calculations'!$D$5),IF('Mass Ion Calculations'!$D$7="Yes", 'Mass Ion Calculations'!$D$15+'AA Exact Masses'!$Q$2-'Mass Ion Calculations'!$C$5-'Mass Ion Calculations'!$C21-'Mass Ion Calculations'!$D$5,'Mass Ion Calculations'!$F$15+'AA Exact Masses'!$Q$2-'Mass Ion Calculations'!$E$5-'Mass Ion Calculations'!E21-'Mass Ion Calculations'!$D$5)))</f>
        <v/>
      </c>
      <c r="D20" s="3" t="str">
        <f>IF(OR($B20="",D$3=""),"",IF('Mass Ion Calculations'!$D$6="Yes",IF('Mass Ion Calculations'!$D$7="Yes",'Mass Ion Calculations'!$D$18+'AA Exact Masses'!$Q$2-'Mass Ion Calculations'!$C$6-'Mass Ion Calculations'!$C21-'Mass Ion Calculations'!$D$5,'Mass Ion Calculations'!$F$18+'AA Exact Masses'!$Q$2-'Mass Ion Calculations'!$E$6-'Mass Ion Calculations'!E21-'Mass Ion Calculations'!$D$5),IF('Mass Ion Calculations'!$D$7="Yes", 'Mass Ion Calculations'!$D$15+'AA Exact Masses'!$Q$2-'Mass Ion Calculations'!$C$6-'Mass Ion Calculations'!$C21-'Mass Ion Calculations'!$D$5,'Mass Ion Calculations'!$F$15+'AA Exact Masses'!$Q$2-'Mass Ion Calculations'!$E$6-'Mass Ion Calculations'!E21-'Mass Ion Calculations'!$D$5)))</f>
        <v/>
      </c>
      <c r="E20" s="3" t="str">
        <f>IF(OR($B20="",E$3=""),"",IF('Mass Ion Calculations'!$D$6="Yes",IF('Mass Ion Calculations'!$D$7="Yes",'Mass Ion Calculations'!$D$18+'AA Exact Masses'!$Q$2-'Mass Ion Calculations'!$C$7-'Mass Ion Calculations'!$C21-'Mass Ion Calculations'!$D$5,'Mass Ion Calculations'!$F$18+'AA Exact Masses'!$Q$2-'Mass Ion Calculations'!$E$7-'Mass Ion Calculations'!$E21-'Mass Ion Calculations'!$D$5),IF('Mass Ion Calculations'!$D$7="Yes", 'Mass Ion Calculations'!$D$15+'AA Exact Masses'!$Q$2-'Mass Ion Calculations'!$C$7-'Mass Ion Calculations'!$C21-'Mass Ion Calculations'!$D$5,'Mass Ion Calculations'!$F$15+'AA Exact Masses'!$Q$2-'Mass Ion Calculations'!$E$7-'Mass Ion Calculations'!$E21-'Mass Ion Calculations'!$D$5)))</f>
        <v/>
      </c>
      <c r="F20" s="3" t="str">
        <f>IF(OR($B20="",F$3=""),"",IF('Mass Ion Calculations'!$D$6="Yes",IF('Mass Ion Calculations'!$D$7="Yes",'Mass Ion Calculations'!$D$18+'AA Exact Masses'!$Q$2-'Mass Ion Calculations'!$C$8-'Mass Ion Calculations'!$C21-'Mass Ion Calculations'!$D$5,'Mass Ion Calculations'!$F$18+'AA Exact Masses'!$Q$2-'Mass Ion Calculations'!$E$8-'Mass Ion Calculations'!$E21-'Mass Ion Calculations'!$D$5),IF('Mass Ion Calculations'!$D$7="Yes", 'Mass Ion Calculations'!$D$15+'AA Exact Masses'!$Q$2-'Mass Ion Calculations'!$C$8-'Mass Ion Calculations'!$C21-'Mass Ion Calculations'!$D$5,'Mass Ion Calculations'!$F$15+'AA Exact Masses'!$Q$2-'Mass Ion Calculations'!$E$8-'Mass Ion Calculations'!$E21-'Mass Ion Calculations'!$D$5)))</f>
        <v/>
      </c>
      <c r="G20" s="3" t="str">
        <f>IF(OR($B20="",G$3=""),"",IF('Mass Ion Calculations'!$D$6="Yes",IF('Mass Ion Calculations'!$D$7="Yes",'Mass Ion Calculations'!$D$18+'AA Exact Masses'!$Q$2-'Mass Ion Calculations'!$C$9-'Mass Ion Calculations'!$C21-'Mass Ion Calculations'!$D$5,'Mass Ion Calculations'!$F$18+'AA Exact Masses'!$Q$2-'Mass Ion Calculations'!$E$9-'Mass Ion Calculations'!$E21-'Mass Ion Calculations'!$D$5),IF('Mass Ion Calculations'!$D$7="Yes", 'Mass Ion Calculations'!$D$15+'AA Exact Masses'!$Q$2-'Mass Ion Calculations'!$C$9-'Mass Ion Calculations'!$C21-'Mass Ion Calculations'!$D$5,'Mass Ion Calculations'!$F$15+'AA Exact Masses'!$Q$2-'Mass Ion Calculations'!$E$9-'Mass Ion Calculations'!$E21-'Mass Ion Calculations'!$D$5)))</f>
        <v/>
      </c>
      <c r="H20" s="3" t="str">
        <f>IF(OR($B20="",H$3=""),"",IF('Mass Ion Calculations'!$D$6="Yes",IF('Mass Ion Calculations'!$D$7="Yes",'Mass Ion Calculations'!$D$18+'AA Exact Masses'!$Q$2-'Mass Ion Calculations'!$C$10-'Mass Ion Calculations'!$C21-'Mass Ion Calculations'!$D$5,'Mass Ion Calculations'!$F$18+'AA Exact Masses'!$Q$2-'Mass Ion Calculations'!$E$10-'Mass Ion Calculations'!$E21-'Mass Ion Calculations'!$D$5),IF('Mass Ion Calculations'!$D$7="Yes", 'Mass Ion Calculations'!$D$15+'AA Exact Masses'!$Q$2-'Mass Ion Calculations'!$C$10-'Mass Ion Calculations'!$C21-'Mass Ion Calculations'!$D$5,'Mass Ion Calculations'!$F$15+'AA Exact Masses'!$Q$2-'Mass Ion Calculations'!$E$10-'Mass Ion Calculations'!$E21-'Mass Ion Calculations'!$D$5)))</f>
        <v/>
      </c>
      <c r="I20" s="3" t="str">
        <f>IF(OR($B20="",I$3=""),"",IF('Mass Ion Calculations'!$D$6="Yes",IF('Mass Ion Calculations'!$D$7="Yes",'Mass Ion Calculations'!$D$18+'AA Exact Masses'!$Q$2-'Mass Ion Calculations'!$C$11-'Mass Ion Calculations'!$C21-'Mass Ion Calculations'!$D$5,'Mass Ion Calculations'!$F$18+'AA Exact Masses'!$Q$2-'Mass Ion Calculations'!$E$11-'Mass Ion Calculations'!$E21-'Mass Ion Calculations'!$D$5),IF('Mass Ion Calculations'!$D$7="Yes", 'Mass Ion Calculations'!$D$15+'AA Exact Masses'!$Q$2-'Mass Ion Calculations'!$C$11-'Mass Ion Calculations'!$C21-'Mass Ion Calculations'!$D$5,'Mass Ion Calculations'!$F$15+'AA Exact Masses'!$Q$2-'Mass Ion Calculations'!$E$11-'Mass Ion Calculations'!$E21-'Mass Ion Calculations'!$D$5)))</f>
        <v/>
      </c>
      <c r="J20" s="3" t="str">
        <f>IF(OR($B20="",J$3=""),"",IF('Mass Ion Calculations'!$D$6="Yes",IF('Mass Ion Calculations'!$D$7="Yes",'Mass Ion Calculations'!$D$18+'AA Exact Masses'!$Q$2-'Mass Ion Calculations'!$C$12-'Mass Ion Calculations'!$C21-'Mass Ion Calculations'!$D$5,'Mass Ion Calculations'!$F$18+'AA Exact Masses'!$Q$2-'Mass Ion Calculations'!$E$12-'Mass Ion Calculations'!$E21-'Mass Ion Calculations'!$D$5),IF('Mass Ion Calculations'!$D$7="Yes", 'Mass Ion Calculations'!$D$15+'AA Exact Masses'!$Q$2-'Mass Ion Calculations'!$C$12-'Mass Ion Calculations'!$C21-'Mass Ion Calculations'!$D$5,'Mass Ion Calculations'!$F$15+'AA Exact Masses'!$Q$2-'Mass Ion Calculations'!$E$12-'Mass Ion Calculations'!$E21-'Mass Ion Calculations'!$D$5)))</f>
        <v/>
      </c>
      <c r="K20" s="3" t="str">
        <f>IF(OR($B20="",K$3=""),"",IF('Mass Ion Calculations'!$D$6="Yes",IF('Mass Ion Calculations'!$D$7="Yes",'Mass Ion Calculations'!$D$18+'AA Exact Masses'!$Q$2-'Mass Ion Calculations'!$C$13-'Mass Ion Calculations'!$C21-'Mass Ion Calculations'!$D$5,'Mass Ion Calculations'!$F$18+'AA Exact Masses'!$Q$2-'Mass Ion Calculations'!$E$14-'Mass Ion Calculations'!$E21-'Mass Ion Calculations'!$D$5),IF('Mass Ion Calculations'!$D$7="Yes", 'Mass Ion Calculations'!$D$15+'AA Exact Masses'!$Q$2-'Mass Ion Calculations'!$C$13-'Mass Ion Calculations'!$C21-'Mass Ion Calculations'!$D$5,'Mass Ion Calculations'!$F$15+'AA Exact Masses'!$Q$2-'Mass Ion Calculations'!$E$14-'Mass Ion Calculations'!$E21-'Mass Ion Calculations'!$D$5)))</f>
        <v/>
      </c>
      <c r="L20" s="3" t="str">
        <f>IF(OR($B20="",L$3=""),"",IF('Mass Ion Calculations'!$D$6="Yes",IF('Mass Ion Calculations'!$D$7="Yes",'Mass Ion Calculations'!$D$18+'AA Exact Masses'!$Q$2-'Mass Ion Calculations'!$C$14-'Mass Ion Calculations'!$C21-'Mass Ion Calculations'!$D$5,'Mass Ion Calculations'!$F$18+'AA Exact Masses'!$Q$2-'Mass Ion Calculations'!$E$15-'Mass Ion Calculations'!$E21-'Mass Ion Calculations'!$D$5),IF('Mass Ion Calculations'!$D$7="Yes", 'Mass Ion Calculations'!$D$15+'AA Exact Masses'!$Q$2-'Mass Ion Calculations'!$C$14-'Mass Ion Calculations'!$C21-'Mass Ion Calculations'!$D$5,'Mass Ion Calculations'!$F$15+'AA Exact Masses'!$Q$2-'Mass Ion Calculations'!$E$15-'Mass Ion Calculations'!$E21-'Mass Ion Calculations'!$D$5)))</f>
        <v/>
      </c>
      <c r="M20" s="3" t="str">
        <f>IF(OR($B20="",M$3=""),"",IF('Mass Ion Calculations'!$D$6="Yes",IF('Mass Ion Calculations'!$D$7="Yes",'Mass Ion Calculations'!$D$18+'AA Exact Masses'!$Q$2-'Mass Ion Calculations'!$C$15-'Mass Ion Calculations'!$C21-'Mass Ion Calculations'!$D$5,'Mass Ion Calculations'!$F$18+'AA Exact Masses'!$Q$2-'Mass Ion Calculations'!$E$16-'Mass Ion Calculations'!$E21-'Mass Ion Calculations'!$D$5),IF('Mass Ion Calculations'!$D$7="Yes", 'Mass Ion Calculations'!$D$15+'AA Exact Masses'!$Q$2-'Mass Ion Calculations'!$C$15-'Mass Ion Calculations'!$C21-'Mass Ion Calculations'!$D$5,'Mass Ion Calculations'!$F$15+'AA Exact Masses'!$Q$2-'Mass Ion Calculations'!$E$16-'Mass Ion Calculations'!$E21-'Mass Ion Calculations'!$D$5)))</f>
        <v/>
      </c>
      <c r="N20" s="3" t="str">
        <f>IF(OR($B20="",N$3=""),"",IF('Mass Ion Calculations'!$D$6="Yes",IF('Mass Ion Calculations'!$D$7="Yes",'Mass Ion Calculations'!$D$18+'AA Exact Masses'!$Q$2-'Mass Ion Calculations'!$C$16-'Mass Ion Calculations'!$C21-'Mass Ion Calculations'!$D$5,'Mass Ion Calculations'!$F$18+'AA Exact Masses'!$Q$2-'Mass Ion Calculations'!$E$17-'Mass Ion Calculations'!$E21-'Mass Ion Calculations'!$D$5),IF('Mass Ion Calculations'!$D$7="Yes", 'Mass Ion Calculations'!$D$15+'AA Exact Masses'!$Q$2-'Mass Ion Calculations'!$C$16-'Mass Ion Calculations'!$C21-'Mass Ion Calculations'!$D$5,'Mass Ion Calculations'!$F$15+'AA Exact Masses'!$Q$2-'Mass Ion Calculations'!$E$17-'Mass Ion Calculations'!$E21-'Mass Ion Calculations'!$D$5)))</f>
        <v/>
      </c>
      <c r="O20" s="3" t="str">
        <f>IF(OR($B20="",O$3=""),"",IF('Mass Ion Calculations'!$D$6="Yes",IF('Mass Ion Calculations'!$D$7="Yes",'Mass Ion Calculations'!$D$18+'AA Exact Masses'!$Q$2-'Mass Ion Calculations'!$C$17-'Mass Ion Calculations'!$C21-'Mass Ion Calculations'!$D$5,'Mass Ion Calculations'!$F$18+'AA Exact Masses'!$Q$2-'Mass Ion Calculations'!$E$18-'Mass Ion Calculations'!$E21-'Mass Ion Calculations'!$D$5),IF('Mass Ion Calculations'!$D$7="Yes", 'Mass Ion Calculations'!$D$15+'AA Exact Masses'!$Q$2-'Mass Ion Calculations'!$C$17-'Mass Ion Calculations'!$C21-'Mass Ion Calculations'!$D$5,'Mass Ion Calculations'!$F$15+'AA Exact Masses'!$Q$2-'Mass Ion Calculations'!$E$18-'Mass Ion Calculations'!$E21-'Mass Ion Calculations'!$D$5)))</f>
        <v/>
      </c>
      <c r="P20" s="3" t="str">
        <f>IF(OR($B20="",P$3=""),"",IF('Mass Ion Calculations'!$D$6="Yes",IF('Mass Ion Calculations'!$D$7="Yes",'Mass Ion Calculations'!$D$18+'AA Exact Masses'!$Q$2-'Mass Ion Calculations'!$C$19-'Mass Ion Calculations'!$C21-'Mass Ion Calculations'!$D$5,'Mass Ion Calculations'!$F$18+'AA Exact Masses'!$Q$2-'Mass Ion Calculations'!$E$19-'Mass Ion Calculations'!$E21-'Mass Ion Calculations'!$D$5),IF('Mass Ion Calculations'!$D$7="Yes", 'Mass Ion Calculations'!$D$15+'AA Exact Masses'!$Q$2-'Mass Ion Calculations'!$C$19-'Mass Ion Calculations'!$C21-'Mass Ion Calculations'!$D$5,'Mass Ion Calculations'!$F$15+'AA Exact Masses'!$Q$2-'Mass Ion Calculations'!$E$19-'Mass Ion Calculations'!$E21-'Mass Ion Calculations'!$D$5)))</f>
        <v/>
      </c>
      <c r="Q20" s="3" t="str">
        <f>IF(OR($B20="",Q$3=""),"",IF('Mass Ion Calculations'!$D$6="Yes",IF('Mass Ion Calculations'!$D$7="Yes",'Mass Ion Calculations'!$D$18+'AA Exact Masses'!$Q$2-'Mass Ion Calculations'!$C$20-'Mass Ion Calculations'!$C21-'Mass Ion Calculations'!$D$5,'Mass Ion Calculations'!$F$18+'AA Exact Masses'!$Q$2-'Mass Ion Calculations'!$E$20-'Mass Ion Calculations'!$E21-'Mass Ion Calculations'!$D$5),IF('Mass Ion Calculations'!$D$7="Yes", 'Mass Ion Calculations'!$D$15+'AA Exact Masses'!$Q$2-'Mass Ion Calculations'!$C$20-'Mass Ion Calculations'!$C21-'Mass Ion Calculations'!$D$5,'Mass Ion Calculations'!$F$15+'AA Exact Masses'!$Q$2-'Mass Ion Calculations'!$E$20-'Mass Ion Calculations'!$E21-'Mass Ion Calculations'!$D$5)))</f>
        <v/>
      </c>
      <c r="R20" s="3" t="str">
        <f>IF(OR($B20="",R$3=""),"",IF('Mass Ion Calculations'!$D$6="Yes",IF('Mass Ion Calculations'!$D$7="Yes",'Mass Ion Calculations'!$D$18+'AA Exact Masses'!$Q$2-'Mass Ion Calculations'!$C$21-'Mass Ion Calculations'!$C21-'Mass Ion Calculations'!$D$5,'Mass Ion Calculations'!$F$18+'AA Exact Masses'!$Q$2-'Mass Ion Calculations'!$E$21-'Mass Ion Calculations'!$E21-'Mass Ion Calculations'!$D$5),IF('Mass Ion Calculations'!$D$7="Yes", 'Mass Ion Calculations'!$D$15+'AA Exact Masses'!$Q$2-'Mass Ion Calculations'!$C$21-'Mass Ion Calculations'!$C21-'Mass Ion Calculations'!$D$5,'Mass Ion Calculations'!$F$15+'AA Exact Masses'!$Q$2-'Mass Ion Calculations'!$E$21-'Mass Ion Calculations'!$E21-'Mass Ion Calculations'!$D$5)))</f>
        <v/>
      </c>
      <c r="S20" s="3" t="str">
        <f>IF(OR($B20="",S$3=""),"",IF('Mass Ion Calculations'!$D$6="Yes",IF('Mass Ion Calculations'!$D$7="Yes",'Mass Ion Calculations'!$D$18+'AA Exact Masses'!$Q$2-'Mass Ion Calculations'!$C$21-'Mass Ion Calculations'!$C21-'Mass Ion Calculations'!$D$5,'Mass Ion Calculations'!$F$18+'AA Exact Masses'!$Q$2-'Mass Ion Calculations'!$E$21-'Mass Ion Calculations'!$E21-'Mass Ion Calculations'!$D$5),IF('Mass Ion Calculations'!$D$7="Yes", 'Mass Ion Calculations'!$D$15+'AA Exact Masses'!$Q$2-'Mass Ion Calculations'!$C$21-'Mass Ion Calculations'!$C21-'Mass Ion Calculations'!$D$5,'Mass Ion Calculations'!$F$15+'AA Exact Masses'!$Q$2-'Mass Ion Calculations'!$E$21-'Mass Ion Calculations'!$E21-'Mass Ion Calculations'!$D$5)))</f>
        <v/>
      </c>
      <c r="T20" s="3" t="str">
        <f>IF(OR($B20="",T$3=""),"",IF('Mass Ion Calculations'!$D$6="Yes",IF('Mass Ion Calculations'!$D$7="Yes",'Mass Ion Calculations'!$D$18+'AA Exact Masses'!$Q$2-'Mass Ion Calculations'!$C$22-'Mass Ion Calculations'!$C21-'Mass Ion Calculations'!$D$5,'Mass Ion Calculations'!$F$18+'AA Exact Masses'!$Q$2-'Mass Ion Calculations'!$E$22-'Mass Ion Calculations'!$E21-'Mass Ion Calculations'!$D$5),IF('Mass Ion Calculations'!$D$7="Yes", 'Mass Ion Calculations'!$D$15+'AA Exact Masses'!$Q$2-'Mass Ion Calculations'!$C$22-'Mass Ion Calculations'!$C21-'Mass Ion Calculations'!$D$5,'Mass Ion Calculations'!$F$15+'AA Exact Masses'!$Q$2-'Mass Ion Calculations'!$E$22-'Mass Ion Calculations'!$E21-'Mass Ion Calculations'!$D$5)))</f>
        <v/>
      </c>
      <c r="U20" s="3" t="str">
        <f>IF(OR($B20="",U$3=""),"",IF('Mass Ion Calculations'!$D$6="Yes",IF('Mass Ion Calculations'!$D$7="Yes",'Mass Ion Calculations'!$D$18+'AA Exact Masses'!$Q$2-'Mass Ion Calculations'!$C$23-'Mass Ion Calculations'!$C21-'Mass Ion Calculations'!$D$5,'Mass Ion Calculations'!$F$18+'AA Exact Masses'!$Q$2-'Mass Ion Calculations'!$E$23-'Mass Ion Calculations'!$E21-'Mass Ion Calculations'!$D$5),IF('Mass Ion Calculations'!$D$7="Yes", 'Mass Ion Calculations'!$D$15+'AA Exact Masses'!$Q$2-'Mass Ion Calculations'!$C$23-'Mass Ion Calculations'!$C21-'Mass Ion Calculations'!$D$5,'Mass Ion Calculations'!$F$15+'AA Exact Masses'!$Q$2-'Mass Ion Calculations'!$E$23-'Mass Ion Calculations'!$E21-'Mass Ion Calculations'!$D$5)))</f>
        <v/>
      </c>
      <c r="V20" s="3" t="str">
        <f>IF(OR($B20="",V$3=""),"",IF('Mass Ion Calculations'!$D$6="Yes",IF('Mass Ion Calculations'!$D$7="Yes",'Mass Ion Calculations'!$D$18+'AA Exact Masses'!$Q$2-'Mass Ion Calculations'!$C$24-'Mass Ion Calculations'!$C21-'Mass Ion Calculations'!$D$5,'Mass Ion Calculations'!$F$18+'AA Exact Masses'!$Q$2-'Mass Ion Calculations'!$E$24-'Mass Ion Calculations'!$E21-'Mass Ion Calculations'!$D$5),IF('Mass Ion Calculations'!$D$7="Yes", 'Mass Ion Calculations'!$D$15+'AA Exact Masses'!$Q$2-'Mass Ion Calculations'!$C$24-'Mass Ion Calculations'!$C21-'Mass Ion Calculations'!$D$5,'Mass Ion Calculations'!$F$15+'AA Exact Masses'!$Q$2-'Mass Ion Calculations'!$E$24-'Mass Ion Calculations'!$E21-'Mass Ion Calculations'!$D$5)))</f>
        <v/>
      </c>
      <c r="W20" s="3" t="str">
        <f>IF(OR($B20="",W$3=""),"",IF('Mass Ion Calculations'!$D$6="Yes",IF('Mass Ion Calculations'!$D$7="Yes",'Mass Ion Calculations'!$D$18+'AA Exact Masses'!$Q$2-'Mass Ion Calculations'!$C$25-'Mass Ion Calculations'!$C21-'Mass Ion Calculations'!$D$5,'Mass Ion Calculations'!$F$18+'AA Exact Masses'!$Q$2-'Mass Ion Calculations'!$E$25-'Mass Ion Calculations'!$E21-'Mass Ion Calculations'!$D$5),IF('Mass Ion Calculations'!$D$7="Yes", 'Mass Ion Calculations'!$D$15+'AA Exact Masses'!$Q$2-'Mass Ion Calculations'!$C$25-'Mass Ion Calculations'!$C21-'Mass Ion Calculations'!$D$5,'Mass Ion Calculations'!$F$15+'AA Exact Masses'!$Q$2-'Mass Ion Calculations'!$E$25-'Mass Ion Calculations'!$E21-'Mass Ion Calculations'!$D$5)))</f>
        <v/>
      </c>
      <c r="X20" s="3" t="str">
        <f>IF(OR($B20="",X$3=""),"",IF('Mass Ion Calculations'!$D$6="Yes",IF('Mass Ion Calculations'!$D$7="Yes",'Mass Ion Calculations'!$D$18+'AA Exact Masses'!$Q$2-'Mass Ion Calculations'!$C$26-'Mass Ion Calculations'!$C21-'Mass Ion Calculations'!$D$5,'Mass Ion Calculations'!$F$18+'AA Exact Masses'!$Q$2-'Mass Ion Calculations'!$E$26-'Mass Ion Calculations'!$E21-'Mass Ion Calculations'!$D$5),IF('Mass Ion Calculations'!$D$7="Yes", 'Mass Ion Calculations'!$D$15+'AA Exact Masses'!$Q$2-'Mass Ion Calculations'!$C$26-'Mass Ion Calculations'!$C21-'Mass Ion Calculations'!$D$5,'Mass Ion Calculations'!$F$15+'AA Exact Masses'!$Q$2-'Mass Ion Calculations'!$E$26-'Mass Ion Calculations'!$E21-'Mass Ion Calculations'!$D$5)))</f>
        <v/>
      </c>
      <c r="Y20" s="3" t="str">
        <f>IF(OR($B20="",Y$3=""),"",IF('Mass Ion Calculations'!$D$6="Yes",IF('Mass Ion Calculations'!$D$7="Yes",'Mass Ion Calculations'!$D$18+'AA Exact Masses'!$Q$2-'Mass Ion Calculations'!$C$27-'Mass Ion Calculations'!$C21-'Mass Ion Calculations'!$D$5,'Mass Ion Calculations'!$F$18+'AA Exact Masses'!$Q$2-'Mass Ion Calculations'!$E$27-'Mass Ion Calculations'!$E21-'Mass Ion Calculations'!$D$5),IF('Mass Ion Calculations'!$D$7="Yes", 'Mass Ion Calculations'!$D$15+'AA Exact Masses'!$Q$2-'Mass Ion Calculations'!$C$27-'Mass Ion Calculations'!$C21-'Mass Ion Calculations'!$D$5,'Mass Ion Calculations'!$F$15+'AA Exact Masses'!$Q$2-'Mass Ion Calculations'!$E$27-'Mass Ion Calculations'!$E21-'Mass Ion Calculations'!$D$5)))</f>
        <v/>
      </c>
      <c r="Z20" s="3" t="str">
        <f>IF(OR($B20="",Z$3=""),"",IF('Mass Ion Calculations'!$D$6="Yes",IF('Mass Ion Calculations'!$D$7="Yes",'Mass Ion Calculations'!$D$18+'AA Exact Masses'!$Q$2-'Mass Ion Calculations'!$C$28-'Mass Ion Calculations'!$C21-'Mass Ion Calculations'!$D$5,'Mass Ion Calculations'!$F$18+'AA Exact Masses'!$Q$2-'Mass Ion Calculations'!$E$2-'Mass Ion Calculations'!$E21-'Mass Ion Calculations'!$D$5),IF('Mass Ion Calculations'!$D$7="Yes", 'Mass Ion Calculations'!$D$15+'AA Exact Masses'!$Q$2-'Mass Ion Calculations'!$C$28-'Mass Ion Calculations'!$C21-'Mass Ion Calculations'!$D$5,'Mass Ion Calculations'!$F$15+'AA Exact Masses'!$Q$2-'Mass Ion Calculations'!$E$2-'Mass Ion Calculations'!$E21-'Mass Ion Calculations'!$D$5)))</f>
        <v/>
      </c>
    </row>
    <row r="21" spans="2:26" x14ac:dyDescent="0.25">
      <c r="B21" s="4" t="str">
        <f>IF('Mass Ion Calculations'!B22="","",'Mass Ion Calculations'!B22)</f>
        <v>HOAt</v>
      </c>
      <c r="C21" s="3" t="e">
        <f>IF(OR($B21="",C$3=""),"",IF('Mass Ion Calculations'!$D$6="Yes",IF('Mass Ion Calculations'!$D$7="Yes",'Mass Ion Calculations'!$D$18+'AA Exact Masses'!$Q$2-'Mass Ion Calculations'!$C$5-'Mass Ion Calculations'!$C22-'Mass Ion Calculations'!$D$5,'Mass Ion Calculations'!$F$18+'AA Exact Masses'!$Q$2-'Mass Ion Calculations'!$E$5-'Mass Ion Calculations'!E22-'Mass Ion Calculations'!$D$5),IF('Mass Ion Calculations'!$D$7="Yes", 'Mass Ion Calculations'!$D$15+'AA Exact Masses'!$Q$2-'Mass Ion Calculations'!$C$5-'Mass Ion Calculations'!$C22-'Mass Ion Calculations'!$D$5,'Mass Ion Calculations'!$F$15+'AA Exact Masses'!$Q$2-'Mass Ion Calculations'!$E$5-'Mass Ion Calculations'!E22-'Mass Ion Calculations'!$D$5)))</f>
        <v>#VALUE!</v>
      </c>
      <c r="D21" s="3" t="e">
        <f>IF(OR($B21="",D$3=""),"",IF('Mass Ion Calculations'!$D$6="Yes",IF('Mass Ion Calculations'!$D$7="Yes",'Mass Ion Calculations'!$D$18+'AA Exact Masses'!$Q$2-'Mass Ion Calculations'!$C$6-'Mass Ion Calculations'!$C22-'Mass Ion Calculations'!$D$5,'Mass Ion Calculations'!$F$18+'AA Exact Masses'!$Q$2-'Mass Ion Calculations'!$E$6-'Mass Ion Calculations'!E22-'Mass Ion Calculations'!$D$5),IF('Mass Ion Calculations'!$D$7="Yes", 'Mass Ion Calculations'!$D$15+'AA Exact Masses'!$Q$2-'Mass Ion Calculations'!$C$6-'Mass Ion Calculations'!$C22-'Mass Ion Calculations'!$D$5,'Mass Ion Calculations'!$F$15+'AA Exact Masses'!$Q$2-'Mass Ion Calculations'!$E$6-'Mass Ion Calculations'!E22-'Mass Ion Calculations'!$D$5)))</f>
        <v>#VALUE!</v>
      </c>
      <c r="E21" s="3" t="e">
        <f>IF(OR($B21="",E$3=""),"",IF('Mass Ion Calculations'!$D$6="Yes",IF('Mass Ion Calculations'!$D$7="Yes",'Mass Ion Calculations'!$D$18+'AA Exact Masses'!$Q$2-'Mass Ion Calculations'!$C$7-'Mass Ion Calculations'!$C22-'Mass Ion Calculations'!$D$5,'Mass Ion Calculations'!$F$18+'AA Exact Masses'!$Q$2-'Mass Ion Calculations'!$E$7-'Mass Ion Calculations'!$E22-'Mass Ion Calculations'!$D$5),IF('Mass Ion Calculations'!$D$7="Yes", 'Mass Ion Calculations'!$D$15+'AA Exact Masses'!$Q$2-'Mass Ion Calculations'!$C$7-'Mass Ion Calculations'!$C22-'Mass Ion Calculations'!$D$5,'Mass Ion Calculations'!$F$15+'AA Exact Masses'!$Q$2-'Mass Ion Calculations'!$E$7-'Mass Ion Calculations'!$E22-'Mass Ion Calculations'!$D$5)))</f>
        <v>#VALUE!</v>
      </c>
      <c r="F21" s="3" t="e">
        <f>IF(OR($B21="",F$3=""),"",IF('Mass Ion Calculations'!$D$6="Yes",IF('Mass Ion Calculations'!$D$7="Yes",'Mass Ion Calculations'!$D$18+'AA Exact Masses'!$Q$2-'Mass Ion Calculations'!$C$8-'Mass Ion Calculations'!$C22-'Mass Ion Calculations'!$D$5,'Mass Ion Calculations'!$F$18+'AA Exact Masses'!$Q$2-'Mass Ion Calculations'!$E$8-'Mass Ion Calculations'!$E22-'Mass Ion Calculations'!$D$5),IF('Mass Ion Calculations'!$D$7="Yes", 'Mass Ion Calculations'!$D$15+'AA Exact Masses'!$Q$2-'Mass Ion Calculations'!$C$8-'Mass Ion Calculations'!$C22-'Mass Ion Calculations'!$D$5,'Mass Ion Calculations'!$F$15+'AA Exact Masses'!$Q$2-'Mass Ion Calculations'!$E$8-'Mass Ion Calculations'!$E22-'Mass Ion Calculations'!$D$5)))</f>
        <v>#VALUE!</v>
      </c>
      <c r="G21" s="3" t="e">
        <f>IF(OR($B21="",G$3=""),"",IF('Mass Ion Calculations'!$D$6="Yes",IF('Mass Ion Calculations'!$D$7="Yes",'Mass Ion Calculations'!$D$18+'AA Exact Masses'!$Q$2-'Mass Ion Calculations'!$C$9-'Mass Ion Calculations'!$C22-'Mass Ion Calculations'!$D$5,'Mass Ion Calculations'!$F$18+'AA Exact Masses'!$Q$2-'Mass Ion Calculations'!$E$9-'Mass Ion Calculations'!$E22-'Mass Ion Calculations'!$D$5),IF('Mass Ion Calculations'!$D$7="Yes", 'Mass Ion Calculations'!$D$15+'AA Exact Masses'!$Q$2-'Mass Ion Calculations'!$C$9-'Mass Ion Calculations'!$C22-'Mass Ion Calculations'!$D$5,'Mass Ion Calculations'!$F$15+'AA Exact Masses'!$Q$2-'Mass Ion Calculations'!$E$9-'Mass Ion Calculations'!$E22-'Mass Ion Calculations'!$D$5)))</f>
        <v>#VALUE!</v>
      </c>
      <c r="H21" s="3" t="e">
        <f>IF(OR($B21="",H$3=""),"",IF('Mass Ion Calculations'!$D$6="Yes",IF('Mass Ion Calculations'!$D$7="Yes",'Mass Ion Calculations'!$D$18+'AA Exact Masses'!$Q$2-'Mass Ion Calculations'!$C$10-'Mass Ion Calculations'!$C22-'Mass Ion Calculations'!$D$5,'Mass Ion Calculations'!$F$18+'AA Exact Masses'!$Q$2-'Mass Ion Calculations'!$E$10-'Mass Ion Calculations'!$E22-'Mass Ion Calculations'!$D$5),IF('Mass Ion Calculations'!$D$7="Yes", 'Mass Ion Calculations'!$D$15+'AA Exact Masses'!$Q$2-'Mass Ion Calculations'!$C$10-'Mass Ion Calculations'!$C22-'Mass Ion Calculations'!$D$5,'Mass Ion Calculations'!$F$15+'AA Exact Masses'!$Q$2-'Mass Ion Calculations'!$E$10-'Mass Ion Calculations'!$E22-'Mass Ion Calculations'!$D$5)))</f>
        <v>#VALUE!</v>
      </c>
      <c r="I21" s="3" t="e">
        <f>IF(OR($B21="",I$3=""),"",IF('Mass Ion Calculations'!$D$6="Yes",IF('Mass Ion Calculations'!$D$7="Yes",'Mass Ion Calculations'!$D$18+'AA Exact Masses'!$Q$2-'Mass Ion Calculations'!$C$11-'Mass Ion Calculations'!$C22-'Mass Ion Calculations'!$D$5,'Mass Ion Calculations'!$F$18+'AA Exact Masses'!$Q$2-'Mass Ion Calculations'!$E$11-'Mass Ion Calculations'!$E22-'Mass Ion Calculations'!$D$5),IF('Mass Ion Calculations'!$D$7="Yes", 'Mass Ion Calculations'!$D$15+'AA Exact Masses'!$Q$2-'Mass Ion Calculations'!$C$11-'Mass Ion Calculations'!$C22-'Mass Ion Calculations'!$D$5,'Mass Ion Calculations'!$F$15+'AA Exact Masses'!$Q$2-'Mass Ion Calculations'!$E$11-'Mass Ion Calculations'!$E22-'Mass Ion Calculations'!$D$5)))</f>
        <v>#VALUE!</v>
      </c>
      <c r="J21" s="3" t="e">
        <f>IF(OR($B21="",J$3=""),"",IF('Mass Ion Calculations'!$D$6="Yes",IF('Mass Ion Calculations'!$D$7="Yes",'Mass Ion Calculations'!$D$18+'AA Exact Masses'!$Q$2-'Mass Ion Calculations'!$C$12-'Mass Ion Calculations'!$C22-'Mass Ion Calculations'!$D$5,'Mass Ion Calculations'!$F$18+'AA Exact Masses'!$Q$2-'Mass Ion Calculations'!$E$12-'Mass Ion Calculations'!$E22-'Mass Ion Calculations'!$D$5),IF('Mass Ion Calculations'!$D$7="Yes", 'Mass Ion Calculations'!$D$15+'AA Exact Masses'!$Q$2-'Mass Ion Calculations'!$C$12-'Mass Ion Calculations'!$C22-'Mass Ion Calculations'!$D$5,'Mass Ion Calculations'!$F$15+'AA Exact Masses'!$Q$2-'Mass Ion Calculations'!$E$12-'Mass Ion Calculations'!$E22-'Mass Ion Calculations'!$D$5)))</f>
        <v>#VALUE!</v>
      </c>
      <c r="K21" s="3" t="e">
        <f>IF(OR($B21="",K$3=""),"",IF('Mass Ion Calculations'!$D$6="Yes",IF('Mass Ion Calculations'!$D$7="Yes",'Mass Ion Calculations'!$D$18+'AA Exact Masses'!$Q$2-'Mass Ion Calculations'!$C$13-'Mass Ion Calculations'!$C22-'Mass Ion Calculations'!$D$5,'Mass Ion Calculations'!$F$18+'AA Exact Masses'!$Q$2-'Mass Ion Calculations'!$E$14-'Mass Ion Calculations'!$E22-'Mass Ion Calculations'!$D$5),IF('Mass Ion Calculations'!$D$7="Yes", 'Mass Ion Calculations'!$D$15+'AA Exact Masses'!$Q$2-'Mass Ion Calculations'!$C$13-'Mass Ion Calculations'!$C22-'Mass Ion Calculations'!$D$5,'Mass Ion Calculations'!$F$15+'AA Exact Masses'!$Q$2-'Mass Ion Calculations'!$E$14-'Mass Ion Calculations'!$E22-'Mass Ion Calculations'!$D$5)))</f>
        <v>#VALUE!</v>
      </c>
      <c r="L21" s="3" t="e">
        <f>IF(OR($B21="",L$3=""),"",IF('Mass Ion Calculations'!$D$6="Yes",IF('Mass Ion Calculations'!$D$7="Yes",'Mass Ion Calculations'!$D$18+'AA Exact Masses'!$Q$2-'Mass Ion Calculations'!$C$14-'Mass Ion Calculations'!$C22-'Mass Ion Calculations'!$D$5,'Mass Ion Calculations'!$F$18+'AA Exact Masses'!$Q$2-'Mass Ion Calculations'!$E$15-'Mass Ion Calculations'!$E22-'Mass Ion Calculations'!$D$5),IF('Mass Ion Calculations'!$D$7="Yes", 'Mass Ion Calculations'!$D$15+'AA Exact Masses'!$Q$2-'Mass Ion Calculations'!$C$14-'Mass Ion Calculations'!$C22-'Mass Ion Calculations'!$D$5,'Mass Ion Calculations'!$F$15+'AA Exact Masses'!$Q$2-'Mass Ion Calculations'!$E$15-'Mass Ion Calculations'!$E22-'Mass Ion Calculations'!$D$5)))</f>
        <v>#VALUE!</v>
      </c>
      <c r="M21" s="3" t="e">
        <f>IF(OR($B21="",M$3=""),"",IF('Mass Ion Calculations'!$D$6="Yes",IF('Mass Ion Calculations'!$D$7="Yes",'Mass Ion Calculations'!$D$18+'AA Exact Masses'!$Q$2-'Mass Ion Calculations'!$C$15-'Mass Ion Calculations'!$C22-'Mass Ion Calculations'!$D$5,'Mass Ion Calculations'!$F$18+'AA Exact Masses'!$Q$2-'Mass Ion Calculations'!$E$16-'Mass Ion Calculations'!$E22-'Mass Ion Calculations'!$D$5),IF('Mass Ion Calculations'!$D$7="Yes", 'Mass Ion Calculations'!$D$15+'AA Exact Masses'!$Q$2-'Mass Ion Calculations'!$C$15-'Mass Ion Calculations'!$C22-'Mass Ion Calculations'!$D$5,'Mass Ion Calculations'!$F$15+'AA Exact Masses'!$Q$2-'Mass Ion Calculations'!$E$16-'Mass Ion Calculations'!$E22-'Mass Ion Calculations'!$D$5)))</f>
        <v>#VALUE!</v>
      </c>
      <c r="N21" s="3" t="e">
        <f>IF(OR($B21="",N$3=""),"",IF('Mass Ion Calculations'!$D$6="Yes",IF('Mass Ion Calculations'!$D$7="Yes",'Mass Ion Calculations'!$D$18+'AA Exact Masses'!$Q$2-'Mass Ion Calculations'!$C$16-'Mass Ion Calculations'!$C22-'Mass Ion Calculations'!$D$5,'Mass Ion Calculations'!$F$18+'AA Exact Masses'!$Q$2-'Mass Ion Calculations'!$E$17-'Mass Ion Calculations'!$E22-'Mass Ion Calculations'!$D$5),IF('Mass Ion Calculations'!$D$7="Yes", 'Mass Ion Calculations'!$D$15+'AA Exact Masses'!$Q$2-'Mass Ion Calculations'!$C$16-'Mass Ion Calculations'!$C22-'Mass Ion Calculations'!$D$5,'Mass Ion Calculations'!$F$15+'AA Exact Masses'!$Q$2-'Mass Ion Calculations'!$E$17-'Mass Ion Calculations'!$E22-'Mass Ion Calculations'!$D$5)))</f>
        <v>#VALUE!</v>
      </c>
      <c r="O21" s="3" t="e">
        <f>IF(OR($B21="",O$3=""),"",IF('Mass Ion Calculations'!$D$6="Yes",IF('Mass Ion Calculations'!$D$7="Yes",'Mass Ion Calculations'!$D$18+'AA Exact Masses'!$Q$2-'Mass Ion Calculations'!$C$17-'Mass Ion Calculations'!$C22-'Mass Ion Calculations'!$D$5,'Mass Ion Calculations'!$F$18+'AA Exact Masses'!$Q$2-'Mass Ion Calculations'!$E$18-'Mass Ion Calculations'!$E22-'Mass Ion Calculations'!$D$5),IF('Mass Ion Calculations'!$D$7="Yes", 'Mass Ion Calculations'!$D$15+'AA Exact Masses'!$Q$2-'Mass Ion Calculations'!$C$17-'Mass Ion Calculations'!$C22-'Mass Ion Calculations'!$D$5,'Mass Ion Calculations'!$F$15+'AA Exact Masses'!$Q$2-'Mass Ion Calculations'!$E$18-'Mass Ion Calculations'!$E22-'Mass Ion Calculations'!$D$5)))</f>
        <v>#VALUE!</v>
      </c>
      <c r="P21" s="3" t="e">
        <f>IF(OR($B21="",P$3=""),"",IF('Mass Ion Calculations'!$D$6="Yes",IF('Mass Ion Calculations'!$D$7="Yes",'Mass Ion Calculations'!$D$18+'AA Exact Masses'!$Q$2-'Mass Ion Calculations'!$C$18-'Mass Ion Calculations'!$C22-'Mass Ion Calculations'!$D$5,'Mass Ion Calculations'!$F$18+'AA Exact Masses'!$Q$2-'Mass Ion Calculations'!#REF!-'Mass Ion Calculations'!$E22-'Mass Ion Calculations'!$D$5),IF('Mass Ion Calculations'!$D$7="Yes", 'Mass Ion Calculations'!$D$15+'AA Exact Masses'!$Q$2-'Mass Ion Calculations'!$C$18-'Mass Ion Calculations'!$C22-'Mass Ion Calculations'!$D$5,'Mass Ion Calculations'!$F$15+'AA Exact Masses'!$Q$2-'Mass Ion Calculations'!#REF!-'Mass Ion Calculations'!$E22-'Mass Ion Calculations'!$D$5)))</f>
        <v>#REF!</v>
      </c>
      <c r="Q21" s="3" t="e">
        <f>IF(OR($B21="",Q$3=""),"",IF('Mass Ion Calculations'!$D$6="Yes",IF('Mass Ion Calculations'!$D$7="Yes",'Mass Ion Calculations'!$D$18+'AA Exact Masses'!$Q$2-'Mass Ion Calculations'!$C$19-'Mass Ion Calculations'!$C22-'Mass Ion Calculations'!$D$5,'Mass Ion Calculations'!$F$18+'AA Exact Masses'!$Q$2-'Mass Ion Calculations'!$E$19-'Mass Ion Calculations'!$E22-'Mass Ion Calculations'!$D$5),IF('Mass Ion Calculations'!$D$7="Yes", 'Mass Ion Calculations'!$D$15+'AA Exact Masses'!$Q$2-'Mass Ion Calculations'!$C$19-'Mass Ion Calculations'!$C22-'Mass Ion Calculations'!$D$5,'Mass Ion Calculations'!$F$15+'AA Exact Masses'!$Q$2-'Mass Ion Calculations'!$E$19-'Mass Ion Calculations'!$E22-'Mass Ion Calculations'!$D$5)))</f>
        <v>#VALUE!</v>
      </c>
      <c r="R21" s="3" t="e">
        <f>IF(OR($B21="",R$3=""),"",IF('Mass Ion Calculations'!$D$6="Yes",IF('Mass Ion Calculations'!$D$7="Yes",'Mass Ion Calculations'!$D$18+'AA Exact Masses'!$Q$2-'Mass Ion Calculations'!$C$20-'Mass Ion Calculations'!$C22-'Mass Ion Calculations'!$D$5,'Mass Ion Calculations'!$F$18+'AA Exact Masses'!$Q$2-'Mass Ion Calculations'!$E$20-'Mass Ion Calculations'!$E22-'Mass Ion Calculations'!$D$5),IF('Mass Ion Calculations'!$D$7="Yes", 'Mass Ion Calculations'!$D$15+'AA Exact Masses'!$Q$2-'Mass Ion Calculations'!$C$20-'Mass Ion Calculations'!$C22-'Mass Ion Calculations'!$D$5,'Mass Ion Calculations'!$F$15+'AA Exact Masses'!$Q$2-'Mass Ion Calculations'!$E$20-'Mass Ion Calculations'!$E22-'Mass Ion Calculations'!$D$5)))</f>
        <v>#VALUE!</v>
      </c>
      <c r="S21" s="3" t="str">
        <f>IF(OR($B21="",S$3=""),"",IF('Mass Ion Calculations'!$D$6="Yes",IF('Mass Ion Calculations'!$D$7="Yes",'Mass Ion Calculations'!$D$18+'AA Exact Masses'!$Q$2-'Mass Ion Calculations'!$C$21-'Mass Ion Calculations'!$C22-'Mass Ion Calculations'!$D$5,'Mass Ion Calculations'!$F$18+'AA Exact Masses'!$Q$2-'Mass Ion Calculations'!$E$21-'Mass Ion Calculations'!$E22-'Mass Ion Calculations'!$D$5),IF('Mass Ion Calculations'!$D$7="Yes", 'Mass Ion Calculations'!$D$15+'AA Exact Masses'!$Q$2-'Mass Ion Calculations'!$C$21-'Mass Ion Calculations'!$C22-'Mass Ion Calculations'!$D$5,'Mass Ion Calculations'!$F$15+'AA Exact Masses'!$Q$2-'Mass Ion Calculations'!$E$21-'Mass Ion Calculations'!$E22-'Mass Ion Calculations'!$D$5)))</f>
        <v/>
      </c>
      <c r="T21" s="3" t="e">
        <f>IF(OR($B21="",T$3=""),"",IF('Mass Ion Calculations'!$D$6="Yes",IF('Mass Ion Calculations'!$D$7="Yes",'Mass Ion Calculations'!$D$18+'AA Exact Masses'!$Q$2-'Mass Ion Calculations'!$C$22-'Mass Ion Calculations'!$C22-'Mass Ion Calculations'!$D$5,'Mass Ion Calculations'!$F$18+'AA Exact Masses'!$Q$2-'Mass Ion Calculations'!$E$22-'Mass Ion Calculations'!$E22-'Mass Ion Calculations'!$D$5),IF('Mass Ion Calculations'!$D$7="Yes", 'Mass Ion Calculations'!$D$15+'AA Exact Masses'!$Q$2-'Mass Ion Calculations'!$C$22-'Mass Ion Calculations'!$C22-'Mass Ion Calculations'!$D$5,'Mass Ion Calculations'!$F$15+'AA Exact Masses'!$Q$2-'Mass Ion Calculations'!$E$22-'Mass Ion Calculations'!$E22-'Mass Ion Calculations'!$D$5)))</f>
        <v>#VALUE!</v>
      </c>
      <c r="U21" s="3" t="e">
        <f>IF(OR($B21="",U$3=""),"",IF('Mass Ion Calculations'!$D$6="Yes",IF('Mass Ion Calculations'!$D$7="Yes",'Mass Ion Calculations'!$D$18+'AA Exact Masses'!$Q$2-'Mass Ion Calculations'!$C$23-'Mass Ion Calculations'!$C22-'Mass Ion Calculations'!$D$5,'Mass Ion Calculations'!$F$18+'AA Exact Masses'!$Q$2-'Mass Ion Calculations'!$E$23-'Mass Ion Calculations'!$E22-'Mass Ion Calculations'!$D$5),IF('Mass Ion Calculations'!$D$7="Yes", 'Mass Ion Calculations'!$D$15+'AA Exact Masses'!$Q$2-'Mass Ion Calculations'!$C$23-'Mass Ion Calculations'!$C22-'Mass Ion Calculations'!$D$5,'Mass Ion Calculations'!$F$15+'AA Exact Masses'!$Q$2-'Mass Ion Calculations'!$E$23-'Mass Ion Calculations'!$E22-'Mass Ion Calculations'!$D$5)))</f>
        <v>#VALUE!</v>
      </c>
      <c r="V21" s="3" t="str">
        <f>IF(OR($B21="",V$3=""),"",IF('Mass Ion Calculations'!$D$6="Yes",IF('Mass Ion Calculations'!$D$7="Yes",'Mass Ion Calculations'!$D$18+'AA Exact Masses'!$Q$2-'Mass Ion Calculations'!$C$24-'Mass Ion Calculations'!$C22-'Mass Ion Calculations'!$D$5,'Mass Ion Calculations'!$F$18+'AA Exact Masses'!$Q$2-'Mass Ion Calculations'!$E$24-'Mass Ion Calculations'!$E22-'Mass Ion Calculations'!$D$5),IF('Mass Ion Calculations'!$D$7="Yes", 'Mass Ion Calculations'!$D$15+'AA Exact Masses'!$Q$2-'Mass Ion Calculations'!$C$24-'Mass Ion Calculations'!$C22-'Mass Ion Calculations'!$D$5,'Mass Ion Calculations'!$F$15+'AA Exact Masses'!$Q$2-'Mass Ion Calculations'!$E$24-'Mass Ion Calculations'!$E22-'Mass Ion Calculations'!$D$5)))</f>
        <v/>
      </c>
      <c r="W21" s="3" t="str">
        <f>IF(OR($B21="",W$3=""),"",IF('Mass Ion Calculations'!$D$6="Yes",IF('Mass Ion Calculations'!$D$7="Yes",'Mass Ion Calculations'!$D$18+'AA Exact Masses'!$Q$2-'Mass Ion Calculations'!$C$25-'Mass Ion Calculations'!$C22-'Mass Ion Calculations'!$D$5,'Mass Ion Calculations'!$F$18+'AA Exact Masses'!$Q$2-'Mass Ion Calculations'!$E$25-'Mass Ion Calculations'!$E22-'Mass Ion Calculations'!$D$5),IF('Mass Ion Calculations'!$D$7="Yes", 'Mass Ion Calculations'!$D$15+'AA Exact Masses'!$Q$2-'Mass Ion Calculations'!$C$25-'Mass Ion Calculations'!$C22-'Mass Ion Calculations'!$D$5,'Mass Ion Calculations'!$F$15+'AA Exact Masses'!$Q$2-'Mass Ion Calculations'!$E$25-'Mass Ion Calculations'!$E22-'Mass Ion Calculations'!$D$5)))</f>
        <v/>
      </c>
      <c r="X21" s="3" t="str">
        <f>IF(OR($B21="",X$3=""),"",IF('Mass Ion Calculations'!$D$6="Yes",IF('Mass Ion Calculations'!$D$7="Yes",'Mass Ion Calculations'!$D$18+'AA Exact Masses'!$Q$2-'Mass Ion Calculations'!$C$26-'Mass Ion Calculations'!$C22-'Mass Ion Calculations'!$D$5,'Mass Ion Calculations'!$F$18+'AA Exact Masses'!$Q$2-'Mass Ion Calculations'!$E$26-'Mass Ion Calculations'!$E22-'Mass Ion Calculations'!$D$5),IF('Mass Ion Calculations'!$D$7="Yes", 'Mass Ion Calculations'!$D$15+'AA Exact Masses'!$Q$2-'Mass Ion Calculations'!$C$26-'Mass Ion Calculations'!$C22-'Mass Ion Calculations'!$D$5,'Mass Ion Calculations'!$F$15+'AA Exact Masses'!$Q$2-'Mass Ion Calculations'!$E$26-'Mass Ion Calculations'!$E22-'Mass Ion Calculations'!$D$5)))</f>
        <v/>
      </c>
      <c r="Y21" s="3" t="str">
        <f>IF(OR($B21="",Y$3=""),"",IF('Mass Ion Calculations'!$D$6="Yes",IF('Mass Ion Calculations'!$D$7="Yes",'Mass Ion Calculations'!$D$18+'AA Exact Masses'!$Q$2-'Mass Ion Calculations'!$C$27-'Mass Ion Calculations'!$C22-'Mass Ion Calculations'!$D$5,'Mass Ion Calculations'!$F$18+'AA Exact Masses'!$Q$2-'Mass Ion Calculations'!$E$27-'Mass Ion Calculations'!$E22-'Mass Ion Calculations'!$D$5),IF('Mass Ion Calculations'!$D$7="Yes", 'Mass Ion Calculations'!$D$15+'AA Exact Masses'!$Q$2-'Mass Ion Calculations'!$C$27-'Mass Ion Calculations'!$C22-'Mass Ion Calculations'!$D$5,'Mass Ion Calculations'!$F$15+'AA Exact Masses'!$Q$2-'Mass Ion Calculations'!$E$27-'Mass Ion Calculations'!$E22-'Mass Ion Calculations'!$D$5)))</f>
        <v/>
      </c>
      <c r="Z21" s="3" t="str">
        <f>IF(OR($B21="",Z$3=""),"",IF('Mass Ion Calculations'!$D$6="Yes",IF('Mass Ion Calculations'!$D$7="Yes",'Mass Ion Calculations'!$D$18+'AA Exact Masses'!$Q$2-'Mass Ion Calculations'!$C$28-'Mass Ion Calculations'!$C22-'Mass Ion Calculations'!$D$5,'Mass Ion Calculations'!$F$18+'AA Exact Masses'!$Q$2-'Mass Ion Calculations'!$E$2-'Mass Ion Calculations'!$E22-'Mass Ion Calculations'!$D$5),IF('Mass Ion Calculations'!$D$7="Yes", 'Mass Ion Calculations'!$D$15+'AA Exact Masses'!$Q$2-'Mass Ion Calculations'!$C$28-'Mass Ion Calculations'!$C22-'Mass Ion Calculations'!$D$5,'Mass Ion Calculations'!$F$15+'AA Exact Masses'!$Q$2-'Mass Ion Calculations'!$E$2-'Mass Ion Calculations'!$E22-'Mass Ion Calculations'!$D$5)))</f>
        <v/>
      </c>
    </row>
    <row r="22" spans="2:26" x14ac:dyDescent="0.25">
      <c r="B22" s="4" t="str">
        <f>IF('Mass Ion Calculations'!B23="","",'Mass Ion Calculations'!B23)</f>
        <v>HCTU</v>
      </c>
      <c r="C22" s="3" t="e">
        <f>IF(OR($B22="",C$3=""),"",IF('Mass Ion Calculations'!$D$6="Yes",IF('Mass Ion Calculations'!$D$7="Yes",'Mass Ion Calculations'!$D$18+'AA Exact Masses'!$Q$2-'Mass Ion Calculations'!$C$5-'Mass Ion Calculations'!$C23-'Mass Ion Calculations'!$D$5,'Mass Ion Calculations'!$F$18+'AA Exact Masses'!$Q$2-'Mass Ion Calculations'!$E$5-'Mass Ion Calculations'!E23-'Mass Ion Calculations'!$D$5),IF('Mass Ion Calculations'!$D$7="Yes", 'Mass Ion Calculations'!$D$15+'AA Exact Masses'!$Q$2-'Mass Ion Calculations'!$C$5-'Mass Ion Calculations'!$C23-'Mass Ion Calculations'!$D$5,'Mass Ion Calculations'!$F$15+'AA Exact Masses'!$Q$2-'Mass Ion Calculations'!$E$5-'Mass Ion Calculations'!E23-'Mass Ion Calculations'!$D$5)))</f>
        <v>#VALUE!</v>
      </c>
      <c r="D22" s="3" t="e">
        <f>IF(OR($B22="",D$3=""),"",IF('Mass Ion Calculations'!$D$6="Yes",IF('Mass Ion Calculations'!$D$7="Yes",'Mass Ion Calculations'!$D$18+'AA Exact Masses'!$Q$2-'Mass Ion Calculations'!$C$6-'Mass Ion Calculations'!$C23-'Mass Ion Calculations'!$D$5,'Mass Ion Calculations'!$F$18+'AA Exact Masses'!$Q$2-'Mass Ion Calculations'!$E$6-'Mass Ion Calculations'!E23-'Mass Ion Calculations'!$D$5),IF('Mass Ion Calculations'!$D$7="Yes", 'Mass Ion Calculations'!$D$15+'AA Exact Masses'!$Q$2-'Mass Ion Calculations'!$C$6-'Mass Ion Calculations'!$C23-'Mass Ion Calculations'!$D$5,'Mass Ion Calculations'!$F$15+'AA Exact Masses'!$Q$2-'Mass Ion Calculations'!$E$6-'Mass Ion Calculations'!E23-'Mass Ion Calculations'!$D$5)))</f>
        <v>#VALUE!</v>
      </c>
      <c r="E22" s="3" t="e">
        <f>IF(OR($B22="",E$3=""),"",IF('Mass Ion Calculations'!$D$6="Yes",IF('Mass Ion Calculations'!$D$7="Yes",'Mass Ion Calculations'!$D$18+'AA Exact Masses'!$Q$2-'Mass Ion Calculations'!$C$7-'Mass Ion Calculations'!$C23-'Mass Ion Calculations'!$D$5,'Mass Ion Calculations'!$F$18+'AA Exact Masses'!$Q$2-'Mass Ion Calculations'!$E$7-'Mass Ion Calculations'!$E23-'Mass Ion Calculations'!$D$5),IF('Mass Ion Calculations'!$D$7="Yes", 'Mass Ion Calculations'!$D$15+'AA Exact Masses'!$Q$2-'Mass Ion Calculations'!$C$7-'Mass Ion Calculations'!$C23-'Mass Ion Calculations'!$D$5,'Mass Ion Calculations'!$F$15+'AA Exact Masses'!$Q$2-'Mass Ion Calculations'!$E$7-'Mass Ion Calculations'!$E23-'Mass Ion Calculations'!$D$5)))</f>
        <v>#VALUE!</v>
      </c>
      <c r="F22" s="3" t="e">
        <f>IF(OR($B22="",F$3=""),"",IF('Mass Ion Calculations'!$D$6="Yes",IF('Mass Ion Calculations'!$D$7="Yes",'Mass Ion Calculations'!$D$18+'AA Exact Masses'!$Q$2-'Mass Ion Calculations'!$C$8-'Mass Ion Calculations'!$C23-'Mass Ion Calculations'!$D$5,'Mass Ion Calculations'!$F$18+'AA Exact Masses'!$Q$2-'Mass Ion Calculations'!$E$8-'Mass Ion Calculations'!$E23-'Mass Ion Calculations'!$D$5),IF('Mass Ion Calculations'!$D$7="Yes", 'Mass Ion Calculations'!$D$15+'AA Exact Masses'!$Q$2-'Mass Ion Calculations'!$C$8-'Mass Ion Calculations'!$C23-'Mass Ion Calculations'!$D$5,'Mass Ion Calculations'!$F$15+'AA Exact Masses'!$Q$2-'Mass Ion Calculations'!$E$8-'Mass Ion Calculations'!$E23-'Mass Ion Calculations'!$D$5)))</f>
        <v>#VALUE!</v>
      </c>
      <c r="G22" s="3" t="e">
        <f>IF(OR($B22="",G$3=""),"",IF('Mass Ion Calculations'!$D$6="Yes",IF('Mass Ion Calculations'!$D$7="Yes",'Mass Ion Calculations'!$D$18+'AA Exact Masses'!$Q$2-'Mass Ion Calculations'!$C$9-'Mass Ion Calculations'!$C23-'Mass Ion Calculations'!$D$5,'Mass Ion Calculations'!$F$18+'AA Exact Masses'!$Q$2-'Mass Ion Calculations'!$E$9-'Mass Ion Calculations'!$E23-'Mass Ion Calculations'!$D$5),IF('Mass Ion Calculations'!$D$7="Yes", 'Mass Ion Calculations'!$D$15+'AA Exact Masses'!$Q$2-'Mass Ion Calculations'!$C$9-'Mass Ion Calculations'!$C23-'Mass Ion Calculations'!$D$5,'Mass Ion Calculations'!$F$15+'AA Exact Masses'!$Q$2-'Mass Ion Calculations'!$E$9-'Mass Ion Calculations'!$E23-'Mass Ion Calculations'!$D$5)))</f>
        <v>#VALUE!</v>
      </c>
      <c r="H22" s="3" t="e">
        <f>IF(OR($B22="",H$3=""),"",IF('Mass Ion Calculations'!$D$6="Yes",IF('Mass Ion Calculations'!$D$7="Yes",'Mass Ion Calculations'!$D$18+'AA Exact Masses'!$Q$2-'Mass Ion Calculations'!$C$10-'Mass Ion Calculations'!$C23-'Mass Ion Calculations'!$D$5,'Mass Ion Calculations'!$F$18+'AA Exact Masses'!$Q$2-'Mass Ion Calculations'!$E$10-'Mass Ion Calculations'!$E23-'Mass Ion Calculations'!$D$5),IF('Mass Ion Calculations'!$D$7="Yes", 'Mass Ion Calculations'!$D$15+'AA Exact Masses'!$Q$2-'Mass Ion Calculations'!$C$10-'Mass Ion Calculations'!$C23-'Mass Ion Calculations'!$D$5,'Mass Ion Calculations'!$F$15+'AA Exact Masses'!$Q$2-'Mass Ion Calculations'!$E$10-'Mass Ion Calculations'!$E23-'Mass Ion Calculations'!$D$5)))</f>
        <v>#VALUE!</v>
      </c>
      <c r="I22" s="3" t="e">
        <f>IF(OR($B22="",I$3=""),"",IF('Mass Ion Calculations'!$D$6="Yes",IF('Mass Ion Calculations'!$D$7="Yes",'Mass Ion Calculations'!$D$18+'AA Exact Masses'!$Q$2-'Mass Ion Calculations'!$C$11-'Mass Ion Calculations'!$C23-'Mass Ion Calculations'!$D$5,'Mass Ion Calculations'!$F$18+'AA Exact Masses'!$Q$2-'Mass Ion Calculations'!$E$11-'Mass Ion Calculations'!$E23-'Mass Ion Calculations'!$D$5),IF('Mass Ion Calculations'!$D$7="Yes", 'Mass Ion Calculations'!$D$15+'AA Exact Masses'!$Q$2-'Mass Ion Calculations'!$C$11-'Mass Ion Calculations'!$C23-'Mass Ion Calculations'!$D$5,'Mass Ion Calculations'!$F$15+'AA Exact Masses'!$Q$2-'Mass Ion Calculations'!$E$11-'Mass Ion Calculations'!$E23-'Mass Ion Calculations'!$D$5)))</f>
        <v>#VALUE!</v>
      </c>
      <c r="J22" s="3" t="e">
        <f>IF(OR($B22="",J$3=""),"",IF('Mass Ion Calculations'!$D$6="Yes",IF('Mass Ion Calculations'!$D$7="Yes",'Mass Ion Calculations'!$D$18+'AA Exact Masses'!$Q$2-'Mass Ion Calculations'!$C$12-'Mass Ion Calculations'!$C23-'Mass Ion Calculations'!$D$5,'Mass Ion Calculations'!$F$18+'AA Exact Masses'!$Q$2-'Mass Ion Calculations'!$E$12-'Mass Ion Calculations'!$E23-'Mass Ion Calculations'!$D$5),IF('Mass Ion Calculations'!$D$7="Yes", 'Mass Ion Calculations'!$D$15+'AA Exact Masses'!$Q$2-'Mass Ion Calculations'!$C$12-'Mass Ion Calculations'!$C23-'Mass Ion Calculations'!$D$5,'Mass Ion Calculations'!$F$15+'AA Exact Masses'!$Q$2-'Mass Ion Calculations'!$E$12-'Mass Ion Calculations'!$E23-'Mass Ion Calculations'!$D$5)))</f>
        <v>#VALUE!</v>
      </c>
      <c r="K22" s="3" t="e">
        <f>IF(OR($B22="",K$3=""),"",IF('Mass Ion Calculations'!$D$6="Yes",IF('Mass Ion Calculations'!$D$7="Yes",'Mass Ion Calculations'!$D$18+'AA Exact Masses'!$Q$2-'Mass Ion Calculations'!$C$13-'Mass Ion Calculations'!$C23-'Mass Ion Calculations'!$D$5,'Mass Ion Calculations'!$F$18+'AA Exact Masses'!$Q$2-'Mass Ion Calculations'!$E$14-'Mass Ion Calculations'!$E23-'Mass Ion Calculations'!$D$5),IF('Mass Ion Calculations'!$D$7="Yes", 'Mass Ion Calculations'!$D$15+'AA Exact Masses'!$Q$2-'Mass Ion Calculations'!$C$13-'Mass Ion Calculations'!$C23-'Mass Ion Calculations'!$D$5,'Mass Ion Calculations'!$F$15+'AA Exact Masses'!$Q$2-'Mass Ion Calculations'!$E$14-'Mass Ion Calculations'!$E23-'Mass Ion Calculations'!$D$5)))</f>
        <v>#VALUE!</v>
      </c>
      <c r="L22" s="3" t="e">
        <f>IF(OR($B22="",L$3=""),"",IF('Mass Ion Calculations'!$D$6="Yes",IF('Mass Ion Calculations'!$D$7="Yes",'Mass Ion Calculations'!$D$18+'AA Exact Masses'!$Q$2-'Mass Ion Calculations'!$C$14-'Mass Ion Calculations'!$C23-'Mass Ion Calculations'!$D$5,'Mass Ion Calculations'!$F$18+'AA Exact Masses'!$Q$2-'Mass Ion Calculations'!$E$15-'Mass Ion Calculations'!$E23-'Mass Ion Calculations'!$D$5),IF('Mass Ion Calculations'!$D$7="Yes", 'Mass Ion Calculations'!$D$15+'AA Exact Masses'!$Q$2-'Mass Ion Calculations'!$C$14-'Mass Ion Calculations'!$C23-'Mass Ion Calculations'!$D$5,'Mass Ion Calculations'!$F$15+'AA Exact Masses'!$Q$2-'Mass Ion Calculations'!$E$15-'Mass Ion Calculations'!$E23-'Mass Ion Calculations'!$D$5)))</f>
        <v>#VALUE!</v>
      </c>
      <c r="M22" s="3" t="e">
        <f>IF(OR($B22="",M$3=""),"",IF('Mass Ion Calculations'!$D$6="Yes",IF('Mass Ion Calculations'!$D$7="Yes",'Mass Ion Calculations'!$D$18+'AA Exact Masses'!$Q$2-'Mass Ion Calculations'!$C$15-'Mass Ion Calculations'!$C23-'Mass Ion Calculations'!$D$5,'Mass Ion Calculations'!$F$18+'AA Exact Masses'!$Q$2-'Mass Ion Calculations'!$E$16-'Mass Ion Calculations'!$E23-'Mass Ion Calculations'!$D$5),IF('Mass Ion Calculations'!$D$7="Yes", 'Mass Ion Calculations'!$D$15+'AA Exact Masses'!$Q$2-'Mass Ion Calculations'!$C$15-'Mass Ion Calculations'!$C23-'Mass Ion Calculations'!$D$5,'Mass Ion Calculations'!$F$15+'AA Exact Masses'!$Q$2-'Mass Ion Calculations'!$E$16-'Mass Ion Calculations'!$E23-'Mass Ion Calculations'!$D$5)))</f>
        <v>#VALUE!</v>
      </c>
      <c r="N22" s="3" t="e">
        <f>IF(OR($B22="",N$3=""),"",IF('Mass Ion Calculations'!$D$6="Yes",IF('Mass Ion Calculations'!$D$7="Yes",'Mass Ion Calculations'!$D$18+'AA Exact Masses'!$Q$2-'Mass Ion Calculations'!$C$16-'Mass Ion Calculations'!$C23-'Mass Ion Calculations'!$D$5,'Mass Ion Calculations'!$F$18+'AA Exact Masses'!$Q$2-'Mass Ion Calculations'!$E$17-'Mass Ion Calculations'!$E23-'Mass Ion Calculations'!$D$5),IF('Mass Ion Calculations'!$D$7="Yes", 'Mass Ion Calculations'!$D$15+'AA Exact Masses'!$Q$2-'Mass Ion Calculations'!$C$16-'Mass Ion Calculations'!$C23-'Mass Ion Calculations'!$D$5,'Mass Ion Calculations'!$F$15+'AA Exact Masses'!$Q$2-'Mass Ion Calculations'!$E$17-'Mass Ion Calculations'!$E23-'Mass Ion Calculations'!$D$5)))</f>
        <v>#VALUE!</v>
      </c>
      <c r="O22" s="3" t="e">
        <f>IF(OR($B22="",O$3=""),"",IF('Mass Ion Calculations'!$D$6="Yes",IF('Mass Ion Calculations'!$D$7="Yes",'Mass Ion Calculations'!$D$18+'AA Exact Masses'!$Q$2-'Mass Ion Calculations'!$C$17-'Mass Ion Calculations'!$C23-'Mass Ion Calculations'!$D$5,'Mass Ion Calculations'!$F$18+'AA Exact Masses'!$Q$2-'Mass Ion Calculations'!$E$18-'Mass Ion Calculations'!$E23-'Mass Ion Calculations'!$D$5),IF('Mass Ion Calculations'!$D$7="Yes", 'Mass Ion Calculations'!$D$15+'AA Exact Masses'!$Q$2-'Mass Ion Calculations'!$C$17-'Mass Ion Calculations'!$C23-'Mass Ion Calculations'!$D$5,'Mass Ion Calculations'!$F$15+'AA Exact Masses'!$Q$2-'Mass Ion Calculations'!$E$18-'Mass Ion Calculations'!$E23-'Mass Ion Calculations'!$D$5)))</f>
        <v>#VALUE!</v>
      </c>
      <c r="P22" s="3" t="e">
        <f>IF(OR($B22="",P$3=""),"",IF('Mass Ion Calculations'!$D$6="Yes",IF('Mass Ion Calculations'!$D$7="Yes",'Mass Ion Calculations'!$D$18+'AA Exact Masses'!$Q$2-'Mass Ion Calculations'!$C$18-'Mass Ion Calculations'!$C23-'Mass Ion Calculations'!$D$5,'Mass Ion Calculations'!$F$18+'AA Exact Masses'!$Q$2-'Mass Ion Calculations'!#REF!-'Mass Ion Calculations'!$E23-'Mass Ion Calculations'!$D$5),IF('Mass Ion Calculations'!$D$7="Yes", 'Mass Ion Calculations'!$D$15+'AA Exact Masses'!$Q$2-'Mass Ion Calculations'!$C$18-'Mass Ion Calculations'!$C23-'Mass Ion Calculations'!$D$5,'Mass Ion Calculations'!$F$15+'AA Exact Masses'!$Q$2-'Mass Ion Calculations'!#REF!-'Mass Ion Calculations'!$E23-'Mass Ion Calculations'!$D$5)))</f>
        <v>#REF!</v>
      </c>
      <c r="Q22" s="3" t="e">
        <f>IF(OR($B22="",Q$3=""),"",IF('Mass Ion Calculations'!$D$6="Yes",IF('Mass Ion Calculations'!$D$7="Yes",'Mass Ion Calculations'!$D$18+'AA Exact Masses'!$Q$2-'Mass Ion Calculations'!$C$19-'Mass Ion Calculations'!$C23-'Mass Ion Calculations'!$D$5,'Mass Ion Calculations'!$F$18+'AA Exact Masses'!$Q$2-'Mass Ion Calculations'!$E$19-'Mass Ion Calculations'!$E23-'Mass Ion Calculations'!$D$5),IF('Mass Ion Calculations'!$D$7="Yes", 'Mass Ion Calculations'!$D$15+'AA Exact Masses'!$Q$2-'Mass Ion Calculations'!$C$19-'Mass Ion Calculations'!$C23-'Mass Ion Calculations'!$D$5,'Mass Ion Calculations'!$F$15+'AA Exact Masses'!$Q$2-'Mass Ion Calculations'!$E$19-'Mass Ion Calculations'!$E23-'Mass Ion Calculations'!$D$5)))</f>
        <v>#VALUE!</v>
      </c>
      <c r="R22" s="3" t="e">
        <f>IF(OR($B22="",R$3=""),"",IF('Mass Ion Calculations'!$D$6="Yes",IF('Mass Ion Calculations'!$D$7="Yes",'Mass Ion Calculations'!$D$18+'AA Exact Masses'!$Q$2-'Mass Ion Calculations'!$C$20-'Mass Ion Calculations'!$C23-'Mass Ion Calculations'!$D$5,'Mass Ion Calculations'!$F$18+'AA Exact Masses'!$Q$2-'Mass Ion Calculations'!$E$20-'Mass Ion Calculations'!$E23-'Mass Ion Calculations'!$D$5),IF('Mass Ion Calculations'!$D$7="Yes", 'Mass Ion Calculations'!$D$15+'AA Exact Masses'!$Q$2-'Mass Ion Calculations'!$C$20-'Mass Ion Calculations'!$C23-'Mass Ion Calculations'!$D$5,'Mass Ion Calculations'!$F$15+'AA Exact Masses'!$Q$2-'Mass Ion Calculations'!$E$20-'Mass Ion Calculations'!$E23-'Mass Ion Calculations'!$D$5)))</f>
        <v>#VALUE!</v>
      </c>
      <c r="S22" s="3" t="str">
        <f>IF(OR($B22="",S$3=""),"",IF('Mass Ion Calculations'!$D$6="Yes",IF('Mass Ion Calculations'!$D$7="Yes",'Mass Ion Calculations'!$D$18+'AA Exact Masses'!$Q$2-'Mass Ion Calculations'!$C$21-'Mass Ion Calculations'!$C23-'Mass Ion Calculations'!$D$5,'Mass Ion Calculations'!$F$18+'AA Exact Masses'!$Q$2-'Mass Ion Calculations'!$E$21-'Mass Ion Calculations'!$E23-'Mass Ion Calculations'!$D$5),IF('Mass Ion Calculations'!$D$7="Yes", 'Mass Ion Calculations'!$D$15+'AA Exact Masses'!$Q$2-'Mass Ion Calculations'!$C$21-'Mass Ion Calculations'!$C23-'Mass Ion Calculations'!$D$5,'Mass Ion Calculations'!$F$15+'AA Exact Masses'!$Q$2-'Mass Ion Calculations'!$E$21-'Mass Ion Calculations'!$E23-'Mass Ion Calculations'!$D$5)))</f>
        <v/>
      </c>
      <c r="T22" s="3" t="e">
        <f>IF(OR($B22="",T$3=""),"",IF('Mass Ion Calculations'!$D$6="Yes",IF('Mass Ion Calculations'!$D$7="Yes",'Mass Ion Calculations'!$D$18+'AA Exact Masses'!$Q$2-'Mass Ion Calculations'!$C$22-'Mass Ion Calculations'!$C23-'Mass Ion Calculations'!$D$5,'Mass Ion Calculations'!$F$18+'AA Exact Masses'!$Q$2-'Mass Ion Calculations'!$E$22-'Mass Ion Calculations'!$E23-'Mass Ion Calculations'!$D$5),IF('Mass Ion Calculations'!$D$7="Yes", 'Mass Ion Calculations'!$D$15+'AA Exact Masses'!$Q$2-'Mass Ion Calculations'!$C$22-'Mass Ion Calculations'!$C23-'Mass Ion Calculations'!$D$5,'Mass Ion Calculations'!$F$15+'AA Exact Masses'!$Q$2-'Mass Ion Calculations'!$E$22-'Mass Ion Calculations'!$E23-'Mass Ion Calculations'!$D$5)))</f>
        <v>#VALUE!</v>
      </c>
      <c r="U22" s="3" t="e">
        <f>IF(OR($B22="",U$3=""),"",IF('Mass Ion Calculations'!$D$6="Yes",IF('Mass Ion Calculations'!$D$7="Yes",'Mass Ion Calculations'!$D$18+'AA Exact Masses'!$Q$2-'Mass Ion Calculations'!$C$23-'Mass Ion Calculations'!$C23-'Mass Ion Calculations'!$D$5,'Mass Ion Calculations'!$F$18+'AA Exact Masses'!$Q$2-'Mass Ion Calculations'!$E$23-'Mass Ion Calculations'!$E23-'Mass Ion Calculations'!$D$5),IF('Mass Ion Calculations'!$D$7="Yes", 'Mass Ion Calculations'!$D$15+'AA Exact Masses'!$Q$2-'Mass Ion Calculations'!$C$23-'Mass Ion Calculations'!$C23-'Mass Ion Calculations'!$D$5,'Mass Ion Calculations'!$F$15+'AA Exact Masses'!$Q$2-'Mass Ion Calculations'!$E$23-'Mass Ion Calculations'!$E23-'Mass Ion Calculations'!$D$5)))</f>
        <v>#VALUE!</v>
      </c>
      <c r="V22" s="3" t="str">
        <f>IF(OR($B22="",V$3=""),"",IF('Mass Ion Calculations'!$D$6="Yes",IF('Mass Ion Calculations'!$D$7="Yes",'Mass Ion Calculations'!$D$18+'AA Exact Masses'!$Q$2-'Mass Ion Calculations'!$C$24-'Mass Ion Calculations'!$C23-'Mass Ion Calculations'!$D$5,'Mass Ion Calculations'!$F$18+'AA Exact Masses'!$Q$2-'Mass Ion Calculations'!$E$24-'Mass Ion Calculations'!$E23-'Mass Ion Calculations'!$D$5),IF('Mass Ion Calculations'!$D$7="Yes", 'Mass Ion Calculations'!$D$15+'AA Exact Masses'!$Q$2-'Mass Ion Calculations'!$C$24-'Mass Ion Calculations'!$C23-'Mass Ion Calculations'!$D$5,'Mass Ion Calculations'!$F$15+'AA Exact Masses'!$Q$2-'Mass Ion Calculations'!$E$24-'Mass Ion Calculations'!$E23-'Mass Ion Calculations'!$D$5)))</f>
        <v/>
      </c>
      <c r="W22" s="3" t="str">
        <f>IF(OR($B22="",W$3=""),"",IF('Mass Ion Calculations'!$D$6="Yes",IF('Mass Ion Calculations'!$D$7="Yes",'Mass Ion Calculations'!$D$18+'AA Exact Masses'!$Q$2-'Mass Ion Calculations'!$C$25-'Mass Ion Calculations'!$C23-'Mass Ion Calculations'!$D$5,'Mass Ion Calculations'!$F$18+'AA Exact Masses'!$Q$2-'Mass Ion Calculations'!$E$25-'Mass Ion Calculations'!$E23-'Mass Ion Calculations'!$D$5),IF('Mass Ion Calculations'!$D$7="Yes", 'Mass Ion Calculations'!$D$15+'AA Exact Masses'!$Q$2-'Mass Ion Calculations'!$C$25-'Mass Ion Calculations'!$C23-'Mass Ion Calculations'!$D$5,'Mass Ion Calculations'!$F$15+'AA Exact Masses'!$Q$2-'Mass Ion Calculations'!$E$25-'Mass Ion Calculations'!$E23-'Mass Ion Calculations'!$D$5)))</f>
        <v/>
      </c>
      <c r="X22" s="3" t="str">
        <f>IF(OR($B22="",X$3=""),"",IF('Mass Ion Calculations'!$D$6="Yes",IF('Mass Ion Calculations'!$D$7="Yes",'Mass Ion Calculations'!$D$18+'AA Exact Masses'!$Q$2-'Mass Ion Calculations'!$C$26-'Mass Ion Calculations'!$C23-'Mass Ion Calculations'!$D$5,'Mass Ion Calculations'!$F$18+'AA Exact Masses'!$Q$2-'Mass Ion Calculations'!$E$26-'Mass Ion Calculations'!$E23-'Mass Ion Calculations'!$D$5),IF('Mass Ion Calculations'!$D$7="Yes", 'Mass Ion Calculations'!$D$15+'AA Exact Masses'!$Q$2-'Mass Ion Calculations'!$C$26-'Mass Ion Calculations'!$C23-'Mass Ion Calculations'!$D$5,'Mass Ion Calculations'!$F$15+'AA Exact Masses'!$Q$2-'Mass Ion Calculations'!$E$26-'Mass Ion Calculations'!$E23-'Mass Ion Calculations'!$D$5)))</f>
        <v/>
      </c>
      <c r="Y22" s="3" t="str">
        <f>IF(OR($B22="",Y$3=""),"",IF('Mass Ion Calculations'!$D$6="Yes",IF('Mass Ion Calculations'!$D$7="Yes",'Mass Ion Calculations'!$D$18+'AA Exact Masses'!$Q$2-'Mass Ion Calculations'!$C$27-'Mass Ion Calculations'!$C23-'Mass Ion Calculations'!$D$5,'Mass Ion Calculations'!$F$18+'AA Exact Masses'!$Q$2-'Mass Ion Calculations'!$E$27-'Mass Ion Calculations'!$E23-'Mass Ion Calculations'!$D$5),IF('Mass Ion Calculations'!$D$7="Yes", 'Mass Ion Calculations'!$D$15+'AA Exact Masses'!$Q$2-'Mass Ion Calculations'!$C$27-'Mass Ion Calculations'!$C23-'Mass Ion Calculations'!$D$5,'Mass Ion Calculations'!$F$15+'AA Exact Masses'!$Q$2-'Mass Ion Calculations'!$E$27-'Mass Ion Calculations'!$E23-'Mass Ion Calculations'!$D$5)))</f>
        <v/>
      </c>
      <c r="Z22" s="3" t="str">
        <f>IF(OR($B22="",Z$3=""),"",IF('Mass Ion Calculations'!$D$6="Yes",IF('Mass Ion Calculations'!$D$7="Yes",'Mass Ion Calculations'!$D$18+'AA Exact Masses'!$Q$2-'Mass Ion Calculations'!$C$28-'Mass Ion Calculations'!$C23-'Mass Ion Calculations'!$D$5,'Mass Ion Calculations'!$F$18+'AA Exact Masses'!$Q$2-'Mass Ion Calculations'!$E$2-'Mass Ion Calculations'!$E23-'Mass Ion Calculations'!$D$5),IF('Mass Ion Calculations'!$D$7="Yes", 'Mass Ion Calculations'!$D$15+'AA Exact Masses'!$Q$2-'Mass Ion Calculations'!$C$28-'Mass Ion Calculations'!$C23-'Mass Ion Calculations'!$D$5,'Mass Ion Calculations'!$F$15+'AA Exact Masses'!$Q$2-'Mass Ion Calculations'!$E$2-'Mass Ion Calculations'!$E23-'Mass Ion Calculations'!$D$5)))</f>
        <v/>
      </c>
    </row>
    <row r="23" spans="2:26" x14ac:dyDescent="0.25">
      <c r="B23" s="4" t="str">
        <f>IF('Mass Ion Calculations'!B24="","",'Mass Ion Calculations'!B24)</f>
        <v/>
      </c>
      <c r="C23" s="3" t="str">
        <f>IF(OR($B23="",C$3=""),"",IF('Mass Ion Calculations'!$D$6="Yes",IF('Mass Ion Calculations'!$D$7="Yes",'Mass Ion Calculations'!$D$18+'AA Exact Masses'!$Q$2-'Mass Ion Calculations'!$C$5-'Mass Ion Calculations'!$C24-'Mass Ion Calculations'!$D$5,'Mass Ion Calculations'!$F$18+'AA Exact Masses'!$Q$2-'Mass Ion Calculations'!$E$5-'Mass Ion Calculations'!E24-'Mass Ion Calculations'!$D$5),IF('Mass Ion Calculations'!$D$7="Yes", 'Mass Ion Calculations'!$D$15+'AA Exact Masses'!$Q$2-'Mass Ion Calculations'!$C$5-'Mass Ion Calculations'!$C24-'Mass Ion Calculations'!$D$5,'Mass Ion Calculations'!$F$15+'AA Exact Masses'!$Q$2-'Mass Ion Calculations'!$E$5-'Mass Ion Calculations'!E24-'Mass Ion Calculations'!$D$5)))</f>
        <v/>
      </c>
      <c r="D23" s="3" t="str">
        <f>IF(OR($B23="",D$3=""),"",IF('Mass Ion Calculations'!$D$6="Yes",IF('Mass Ion Calculations'!$D$7="Yes",'Mass Ion Calculations'!$D$18+'AA Exact Masses'!$Q$2-'Mass Ion Calculations'!$C$6-'Mass Ion Calculations'!$C24-'Mass Ion Calculations'!$D$5,'Mass Ion Calculations'!$F$18+'AA Exact Masses'!$Q$2-'Mass Ion Calculations'!$E$6-'Mass Ion Calculations'!E24-'Mass Ion Calculations'!$D$5),IF('Mass Ion Calculations'!$D$7="Yes", 'Mass Ion Calculations'!$D$15+'AA Exact Masses'!$Q$2-'Mass Ion Calculations'!$C$6-'Mass Ion Calculations'!$C24-'Mass Ion Calculations'!$D$5,'Mass Ion Calculations'!$F$15+'AA Exact Masses'!$Q$2-'Mass Ion Calculations'!$E$6-'Mass Ion Calculations'!E24-'Mass Ion Calculations'!$D$5)))</f>
        <v/>
      </c>
      <c r="E23" s="3" t="str">
        <f>IF(OR($B23="",E$3=""),"",IF('Mass Ion Calculations'!$D$6="Yes",IF('Mass Ion Calculations'!$D$7="Yes",'Mass Ion Calculations'!$D$18+'AA Exact Masses'!$Q$2-'Mass Ion Calculations'!$C$7-'Mass Ion Calculations'!$C24-'Mass Ion Calculations'!$D$5,'Mass Ion Calculations'!$F$18+'AA Exact Masses'!$Q$2-'Mass Ion Calculations'!$E$7-'Mass Ion Calculations'!$E24-'Mass Ion Calculations'!$D$5),IF('Mass Ion Calculations'!$D$7="Yes", 'Mass Ion Calculations'!$D$15+'AA Exact Masses'!$Q$2-'Mass Ion Calculations'!$C$7-'Mass Ion Calculations'!$C24-'Mass Ion Calculations'!$D$5,'Mass Ion Calculations'!$F$15+'AA Exact Masses'!$Q$2-'Mass Ion Calculations'!$E$7-'Mass Ion Calculations'!$E24-'Mass Ion Calculations'!$D$5)))</f>
        <v/>
      </c>
      <c r="F23" s="3" t="str">
        <f>IF(OR($B23="",F$3=""),"",IF('Mass Ion Calculations'!$D$6="Yes",IF('Mass Ion Calculations'!$D$7="Yes",'Mass Ion Calculations'!$D$18+'AA Exact Masses'!$Q$2-'Mass Ion Calculations'!$C$8-'Mass Ion Calculations'!$C24-'Mass Ion Calculations'!$D$5,'Mass Ion Calculations'!$F$18+'AA Exact Masses'!$Q$2-'Mass Ion Calculations'!$E$8-'Mass Ion Calculations'!$E24-'Mass Ion Calculations'!$D$5),IF('Mass Ion Calculations'!$D$7="Yes", 'Mass Ion Calculations'!$D$15+'AA Exact Masses'!$Q$2-'Mass Ion Calculations'!$C$8-'Mass Ion Calculations'!$C24-'Mass Ion Calculations'!$D$5,'Mass Ion Calculations'!$F$15+'AA Exact Masses'!$Q$2-'Mass Ion Calculations'!$E$8-'Mass Ion Calculations'!$E24-'Mass Ion Calculations'!$D$5)))</f>
        <v/>
      </c>
      <c r="G23" s="3" t="str">
        <f>IF(OR($B23="",G$3=""),"",IF('Mass Ion Calculations'!$D$6="Yes",IF('Mass Ion Calculations'!$D$7="Yes",'Mass Ion Calculations'!$D$18+'AA Exact Masses'!$Q$2-'Mass Ion Calculations'!$C$9-'Mass Ion Calculations'!$C24-'Mass Ion Calculations'!$D$5,'Mass Ion Calculations'!$F$18+'AA Exact Masses'!$Q$2-'Mass Ion Calculations'!$E$9-'Mass Ion Calculations'!$E24-'Mass Ion Calculations'!$D$5),IF('Mass Ion Calculations'!$D$7="Yes", 'Mass Ion Calculations'!$D$15+'AA Exact Masses'!$Q$2-'Mass Ion Calculations'!$C$9-'Mass Ion Calculations'!$C24-'Mass Ion Calculations'!$D$5,'Mass Ion Calculations'!$F$15+'AA Exact Masses'!$Q$2-'Mass Ion Calculations'!$E$9-'Mass Ion Calculations'!$E24-'Mass Ion Calculations'!$D$5)))</f>
        <v/>
      </c>
      <c r="H23" s="3" t="str">
        <f>IF(OR($B23="",H$3=""),"",IF('Mass Ion Calculations'!$D$6="Yes",IF('Mass Ion Calculations'!$D$7="Yes",'Mass Ion Calculations'!$D$18+'AA Exact Masses'!$Q$2-'Mass Ion Calculations'!$C$10-'Mass Ion Calculations'!$C24-'Mass Ion Calculations'!$D$5,'Mass Ion Calculations'!$F$18+'AA Exact Masses'!$Q$2-'Mass Ion Calculations'!$E$10-'Mass Ion Calculations'!$E24-'Mass Ion Calculations'!$D$5),IF('Mass Ion Calculations'!$D$7="Yes", 'Mass Ion Calculations'!$D$15+'AA Exact Masses'!$Q$2-'Mass Ion Calculations'!$C$10-'Mass Ion Calculations'!$C24-'Mass Ion Calculations'!$D$5,'Mass Ion Calculations'!$F$15+'AA Exact Masses'!$Q$2-'Mass Ion Calculations'!$E$10-'Mass Ion Calculations'!$E24-'Mass Ion Calculations'!$D$5)))</f>
        <v/>
      </c>
      <c r="I23" s="3" t="str">
        <f>IF(OR($B23="",I$3=""),"",IF('Mass Ion Calculations'!$D$6="Yes",IF('Mass Ion Calculations'!$D$7="Yes",'Mass Ion Calculations'!$D$18+'AA Exact Masses'!$Q$2-'Mass Ion Calculations'!$C$11-'Mass Ion Calculations'!$C24-'Mass Ion Calculations'!$D$5,'Mass Ion Calculations'!$F$18+'AA Exact Masses'!$Q$2-'Mass Ion Calculations'!$E$11-'Mass Ion Calculations'!$E24-'Mass Ion Calculations'!$D$5),IF('Mass Ion Calculations'!$D$7="Yes", 'Mass Ion Calculations'!$D$15+'AA Exact Masses'!$Q$2-'Mass Ion Calculations'!$C$11-'Mass Ion Calculations'!$C24-'Mass Ion Calculations'!$D$5,'Mass Ion Calculations'!$F$15+'AA Exact Masses'!$Q$2-'Mass Ion Calculations'!$E$11-'Mass Ion Calculations'!$E24-'Mass Ion Calculations'!$D$5)))</f>
        <v/>
      </c>
      <c r="J23" s="3" t="str">
        <f>IF(OR($B23="",J$3=""),"",IF('Mass Ion Calculations'!$D$6="Yes",IF('Mass Ion Calculations'!$D$7="Yes",'Mass Ion Calculations'!$D$18+'AA Exact Masses'!$Q$2-'Mass Ion Calculations'!$C$12-'Mass Ion Calculations'!$C24-'Mass Ion Calculations'!$D$5,'Mass Ion Calculations'!$F$18+'AA Exact Masses'!$Q$2-'Mass Ion Calculations'!$E$12-'Mass Ion Calculations'!$E24-'Mass Ion Calculations'!$D$5),IF('Mass Ion Calculations'!$D$7="Yes", 'Mass Ion Calculations'!$D$15+'AA Exact Masses'!$Q$2-'Mass Ion Calculations'!$C$12-'Mass Ion Calculations'!$C24-'Mass Ion Calculations'!$D$5,'Mass Ion Calculations'!$F$15+'AA Exact Masses'!$Q$2-'Mass Ion Calculations'!$E$12-'Mass Ion Calculations'!$E24-'Mass Ion Calculations'!$D$5)))</f>
        <v/>
      </c>
      <c r="K23" s="3" t="str">
        <f>IF(OR($B23="",K$3=""),"",IF('Mass Ion Calculations'!$D$6="Yes",IF('Mass Ion Calculations'!$D$7="Yes",'Mass Ion Calculations'!$D$18+'AA Exact Masses'!$Q$2-'Mass Ion Calculations'!$C$13-'Mass Ion Calculations'!$C24-'Mass Ion Calculations'!$D$5,'Mass Ion Calculations'!$F$18+'AA Exact Masses'!$Q$2-'Mass Ion Calculations'!$E$14-'Mass Ion Calculations'!$E24-'Mass Ion Calculations'!$D$5),IF('Mass Ion Calculations'!$D$7="Yes", 'Mass Ion Calculations'!$D$15+'AA Exact Masses'!$Q$2-'Mass Ion Calculations'!$C$13-'Mass Ion Calculations'!$C24-'Mass Ion Calculations'!$D$5,'Mass Ion Calculations'!$F$15+'AA Exact Masses'!$Q$2-'Mass Ion Calculations'!$E$14-'Mass Ion Calculations'!$E24-'Mass Ion Calculations'!$D$5)))</f>
        <v/>
      </c>
      <c r="L23" s="3" t="str">
        <f>IF(OR($B23="",L$3=""),"",IF('Mass Ion Calculations'!$D$6="Yes",IF('Mass Ion Calculations'!$D$7="Yes",'Mass Ion Calculations'!$D$18+'AA Exact Masses'!$Q$2-'Mass Ion Calculations'!$C$14-'Mass Ion Calculations'!$C24-'Mass Ion Calculations'!$D$5,'Mass Ion Calculations'!$F$18+'AA Exact Masses'!$Q$2-'Mass Ion Calculations'!$E$15-'Mass Ion Calculations'!$E24-'Mass Ion Calculations'!$D$5),IF('Mass Ion Calculations'!$D$7="Yes", 'Mass Ion Calculations'!$D$15+'AA Exact Masses'!$Q$2-'Mass Ion Calculations'!$C$14-'Mass Ion Calculations'!$C24-'Mass Ion Calculations'!$D$5,'Mass Ion Calculations'!$F$15+'AA Exact Masses'!$Q$2-'Mass Ion Calculations'!$E$15-'Mass Ion Calculations'!$E24-'Mass Ion Calculations'!$D$5)))</f>
        <v/>
      </c>
      <c r="M23" s="3" t="str">
        <f>IF(OR($B23="",M$3=""),"",IF('Mass Ion Calculations'!$D$6="Yes",IF('Mass Ion Calculations'!$D$7="Yes",'Mass Ion Calculations'!$D$18+'AA Exact Masses'!$Q$2-'Mass Ion Calculations'!$C$15-'Mass Ion Calculations'!$C24-'Mass Ion Calculations'!$D$5,'Mass Ion Calculations'!$F$18+'AA Exact Masses'!$Q$2-'Mass Ion Calculations'!$E$16-'Mass Ion Calculations'!$E24-'Mass Ion Calculations'!$D$5),IF('Mass Ion Calculations'!$D$7="Yes", 'Mass Ion Calculations'!$D$15+'AA Exact Masses'!$Q$2-'Mass Ion Calculations'!$C$15-'Mass Ion Calculations'!$C24-'Mass Ion Calculations'!$D$5,'Mass Ion Calculations'!$F$15+'AA Exact Masses'!$Q$2-'Mass Ion Calculations'!$E$16-'Mass Ion Calculations'!$E24-'Mass Ion Calculations'!$D$5)))</f>
        <v/>
      </c>
      <c r="N23" s="3" t="str">
        <f>IF(OR($B23="",N$3=""),"",IF('Mass Ion Calculations'!$D$6="Yes",IF('Mass Ion Calculations'!$D$7="Yes",'Mass Ion Calculations'!$D$18+'AA Exact Masses'!$Q$2-'Mass Ion Calculations'!$C$16-'Mass Ion Calculations'!$C24-'Mass Ion Calculations'!$D$5,'Mass Ion Calculations'!$F$18+'AA Exact Masses'!$Q$2-'Mass Ion Calculations'!$E$17-'Mass Ion Calculations'!$E24-'Mass Ion Calculations'!$D$5),IF('Mass Ion Calculations'!$D$7="Yes", 'Mass Ion Calculations'!$D$15+'AA Exact Masses'!$Q$2-'Mass Ion Calculations'!$C$16-'Mass Ion Calculations'!$C24-'Mass Ion Calculations'!$D$5,'Mass Ion Calculations'!$F$15+'AA Exact Masses'!$Q$2-'Mass Ion Calculations'!$E$17-'Mass Ion Calculations'!$E24-'Mass Ion Calculations'!$D$5)))</f>
        <v/>
      </c>
      <c r="O23" s="3" t="str">
        <f>IF(OR($B23="",O$3=""),"",IF('Mass Ion Calculations'!$D$6="Yes",IF('Mass Ion Calculations'!$D$7="Yes",'Mass Ion Calculations'!$D$18+'AA Exact Masses'!$Q$2-'Mass Ion Calculations'!$C$17-'Mass Ion Calculations'!$C24-'Mass Ion Calculations'!$D$5,'Mass Ion Calculations'!$F$18+'AA Exact Masses'!$Q$2-'Mass Ion Calculations'!$E$18-'Mass Ion Calculations'!$E24-'Mass Ion Calculations'!$D$5),IF('Mass Ion Calculations'!$D$7="Yes", 'Mass Ion Calculations'!$D$15+'AA Exact Masses'!$Q$2-'Mass Ion Calculations'!$C$17-'Mass Ion Calculations'!$C24-'Mass Ion Calculations'!$D$5,'Mass Ion Calculations'!$F$15+'AA Exact Masses'!$Q$2-'Mass Ion Calculations'!$E$18-'Mass Ion Calculations'!$E24-'Mass Ion Calculations'!$D$5)))</f>
        <v/>
      </c>
      <c r="P23" s="3" t="str">
        <f>IF(OR($B23="",P$3=""),"",IF('Mass Ion Calculations'!$D$6="Yes",IF('Mass Ion Calculations'!$D$7="Yes",'Mass Ion Calculations'!$D$18+'AA Exact Masses'!$Q$2-'Mass Ion Calculations'!$C$18-'Mass Ion Calculations'!$C24-'Mass Ion Calculations'!$D$5,'Mass Ion Calculations'!$F$18+'AA Exact Masses'!$Q$2-'Mass Ion Calculations'!#REF!-'Mass Ion Calculations'!$E24-'Mass Ion Calculations'!$D$5),IF('Mass Ion Calculations'!$D$7="Yes", 'Mass Ion Calculations'!$D$15+'AA Exact Masses'!$Q$2-'Mass Ion Calculations'!$C$18-'Mass Ion Calculations'!$C24-'Mass Ion Calculations'!$D$5,'Mass Ion Calculations'!$F$15+'AA Exact Masses'!$Q$2-'Mass Ion Calculations'!#REF!-'Mass Ion Calculations'!$E24-'Mass Ion Calculations'!$D$5)))</f>
        <v/>
      </c>
      <c r="Q23" s="3" t="str">
        <f>IF(OR($B23="",Q$3=""),"",IF('Mass Ion Calculations'!$D$6="Yes",IF('Mass Ion Calculations'!$D$7="Yes",'Mass Ion Calculations'!$D$18+'AA Exact Masses'!$Q$2-'Mass Ion Calculations'!$C$19-'Mass Ion Calculations'!$C24-'Mass Ion Calculations'!$D$5,'Mass Ion Calculations'!$F$18+'AA Exact Masses'!$Q$2-'Mass Ion Calculations'!$E$19-'Mass Ion Calculations'!$E24-'Mass Ion Calculations'!$D$5),IF('Mass Ion Calculations'!$D$7="Yes", 'Mass Ion Calculations'!$D$15+'AA Exact Masses'!$Q$2-'Mass Ion Calculations'!$C$19-'Mass Ion Calculations'!$C24-'Mass Ion Calculations'!$D$5,'Mass Ion Calculations'!$F$15+'AA Exact Masses'!$Q$2-'Mass Ion Calculations'!$E$19-'Mass Ion Calculations'!$E24-'Mass Ion Calculations'!$D$5)))</f>
        <v/>
      </c>
      <c r="R23" s="3" t="str">
        <f>IF(OR($B23="",R$3=""),"",IF('Mass Ion Calculations'!$D$6="Yes",IF('Mass Ion Calculations'!$D$7="Yes",'Mass Ion Calculations'!$D$18+'AA Exact Masses'!$Q$2-'Mass Ion Calculations'!$C$20-'Mass Ion Calculations'!$C24-'Mass Ion Calculations'!$D$5,'Mass Ion Calculations'!$F$18+'AA Exact Masses'!$Q$2-'Mass Ion Calculations'!$E$20-'Mass Ion Calculations'!$E24-'Mass Ion Calculations'!$D$5),IF('Mass Ion Calculations'!$D$7="Yes", 'Mass Ion Calculations'!$D$15+'AA Exact Masses'!$Q$2-'Mass Ion Calculations'!$C$20-'Mass Ion Calculations'!$C24-'Mass Ion Calculations'!$D$5,'Mass Ion Calculations'!$F$15+'AA Exact Masses'!$Q$2-'Mass Ion Calculations'!$E$20-'Mass Ion Calculations'!$E24-'Mass Ion Calculations'!$D$5)))</f>
        <v/>
      </c>
      <c r="S23" s="3" t="str">
        <f>IF(OR($B23="",S$3=""),"",IF('Mass Ion Calculations'!$D$6="Yes",IF('Mass Ion Calculations'!$D$7="Yes",'Mass Ion Calculations'!$D$18+'AA Exact Masses'!$Q$2-'Mass Ion Calculations'!$C$21-'Mass Ion Calculations'!$C24-'Mass Ion Calculations'!$D$5,'Mass Ion Calculations'!$F$18+'AA Exact Masses'!$Q$2-'Mass Ion Calculations'!$E$21-'Mass Ion Calculations'!$E24-'Mass Ion Calculations'!$D$5),IF('Mass Ion Calculations'!$D$7="Yes", 'Mass Ion Calculations'!$D$15+'AA Exact Masses'!$Q$2-'Mass Ion Calculations'!$C$21-'Mass Ion Calculations'!$C24-'Mass Ion Calculations'!$D$5,'Mass Ion Calculations'!$F$15+'AA Exact Masses'!$Q$2-'Mass Ion Calculations'!$E$21-'Mass Ion Calculations'!$E24-'Mass Ion Calculations'!$D$5)))</f>
        <v/>
      </c>
      <c r="T23" s="3" t="str">
        <f>IF(OR($B23="",T$3=""),"",IF('Mass Ion Calculations'!$D$6="Yes",IF('Mass Ion Calculations'!$D$7="Yes",'Mass Ion Calculations'!$D$18+'AA Exact Masses'!$Q$2-'Mass Ion Calculations'!$C$22-'Mass Ion Calculations'!$C24-'Mass Ion Calculations'!$D$5,'Mass Ion Calculations'!$F$18+'AA Exact Masses'!$Q$2-'Mass Ion Calculations'!$E$22-'Mass Ion Calculations'!$E24-'Mass Ion Calculations'!$D$5),IF('Mass Ion Calculations'!$D$7="Yes", 'Mass Ion Calculations'!$D$15+'AA Exact Masses'!$Q$2-'Mass Ion Calculations'!$C$22-'Mass Ion Calculations'!$C24-'Mass Ion Calculations'!$D$5,'Mass Ion Calculations'!$F$15+'AA Exact Masses'!$Q$2-'Mass Ion Calculations'!$E$22-'Mass Ion Calculations'!$E24-'Mass Ion Calculations'!$D$5)))</f>
        <v/>
      </c>
      <c r="U23" s="3" t="str">
        <f>IF(OR($B23="",U$3=""),"",IF('Mass Ion Calculations'!$D$6="Yes",IF('Mass Ion Calculations'!$D$7="Yes",'Mass Ion Calculations'!$D$18+'AA Exact Masses'!$Q$2-'Mass Ion Calculations'!$C$23-'Mass Ion Calculations'!$C24-'Mass Ion Calculations'!$D$5,'Mass Ion Calculations'!$F$18+'AA Exact Masses'!$Q$2-'Mass Ion Calculations'!$E$23-'Mass Ion Calculations'!$E24-'Mass Ion Calculations'!$D$5),IF('Mass Ion Calculations'!$D$7="Yes", 'Mass Ion Calculations'!$D$15+'AA Exact Masses'!$Q$2-'Mass Ion Calculations'!$C$23-'Mass Ion Calculations'!$C24-'Mass Ion Calculations'!$D$5,'Mass Ion Calculations'!$F$15+'AA Exact Masses'!$Q$2-'Mass Ion Calculations'!$E$23-'Mass Ion Calculations'!$E24-'Mass Ion Calculations'!$D$5)))</f>
        <v/>
      </c>
      <c r="V23" s="3" t="str">
        <f>IF(OR($B23="",V$3=""),"",IF('Mass Ion Calculations'!$D$6="Yes",IF('Mass Ion Calculations'!$D$7="Yes",'Mass Ion Calculations'!$D$18+'AA Exact Masses'!$Q$2-'Mass Ion Calculations'!$C$24-'Mass Ion Calculations'!$C24-'Mass Ion Calculations'!$D$5,'Mass Ion Calculations'!$F$18+'AA Exact Masses'!$Q$2-'Mass Ion Calculations'!$E$24-'Mass Ion Calculations'!$E24-'Mass Ion Calculations'!$D$5),IF('Mass Ion Calculations'!$D$7="Yes", 'Mass Ion Calculations'!$D$15+'AA Exact Masses'!$Q$2-'Mass Ion Calculations'!$C$24-'Mass Ion Calculations'!$C24-'Mass Ion Calculations'!$D$5,'Mass Ion Calculations'!$F$15+'AA Exact Masses'!$Q$2-'Mass Ion Calculations'!$E$24-'Mass Ion Calculations'!$E24-'Mass Ion Calculations'!$D$5)))</f>
        <v/>
      </c>
      <c r="W23" s="3" t="str">
        <f>IF(OR($B23="",W$3=""),"",IF('Mass Ion Calculations'!$D$6="Yes",IF('Mass Ion Calculations'!$D$7="Yes",'Mass Ion Calculations'!$D$18+'AA Exact Masses'!$Q$2-'Mass Ion Calculations'!$C$25-'Mass Ion Calculations'!$C24-'Mass Ion Calculations'!$D$5,'Mass Ion Calculations'!$F$18+'AA Exact Masses'!$Q$2-'Mass Ion Calculations'!$E$25-'Mass Ion Calculations'!$E24-'Mass Ion Calculations'!$D$5),IF('Mass Ion Calculations'!$D$7="Yes", 'Mass Ion Calculations'!$D$15+'AA Exact Masses'!$Q$2-'Mass Ion Calculations'!$C$25-'Mass Ion Calculations'!$C24-'Mass Ion Calculations'!$D$5,'Mass Ion Calculations'!$F$15+'AA Exact Masses'!$Q$2-'Mass Ion Calculations'!$E$25-'Mass Ion Calculations'!$E24-'Mass Ion Calculations'!$D$5)))</f>
        <v/>
      </c>
      <c r="X23" s="3" t="str">
        <f>IF(OR($B23="",X$3=""),"",IF('Mass Ion Calculations'!$D$6="Yes",IF('Mass Ion Calculations'!$D$7="Yes",'Mass Ion Calculations'!$D$18+'AA Exact Masses'!$Q$2-'Mass Ion Calculations'!$C$26-'Mass Ion Calculations'!$C24-'Mass Ion Calculations'!$D$5,'Mass Ion Calculations'!$F$18+'AA Exact Masses'!$Q$2-'Mass Ion Calculations'!$E$26-'Mass Ion Calculations'!$E24-'Mass Ion Calculations'!$D$5),IF('Mass Ion Calculations'!$D$7="Yes", 'Mass Ion Calculations'!$D$15+'AA Exact Masses'!$Q$2-'Mass Ion Calculations'!$C$26-'Mass Ion Calculations'!$C24-'Mass Ion Calculations'!$D$5,'Mass Ion Calculations'!$F$15+'AA Exact Masses'!$Q$2-'Mass Ion Calculations'!$E$26-'Mass Ion Calculations'!$E24-'Mass Ion Calculations'!$D$5)))</f>
        <v/>
      </c>
      <c r="Y23" s="3" t="str">
        <f>IF(OR($B23="",Y$3=""),"",IF('Mass Ion Calculations'!$D$6="Yes",IF('Mass Ion Calculations'!$D$7="Yes",'Mass Ion Calculations'!$D$18+'AA Exact Masses'!$Q$2-'Mass Ion Calculations'!$C$27-'Mass Ion Calculations'!$C24-'Mass Ion Calculations'!$D$5,'Mass Ion Calculations'!$F$18+'AA Exact Masses'!$Q$2-'Mass Ion Calculations'!$E$27-'Mass Ion Calculations'!$E24-'Mass Ion Calculations'!$D$5),IF('Mass Ion Calculations'!$D$7="Yes", 'Mass Ion Calculations'!$D$15+'AA Exact Masses'!$Q$2-'Mass Ion Calculations'!$C$27-'Mass Ion Calculations'!$C24-'Mass Ion Calculations'!$D$5,'Mass Ion Calculations'!$F$15+'AA Exact Masses'!$Q$2-'Mass Ion Calculations'!$E$27-'Mass Ion Calculations'!$E24-'Mass Ion Calculations'!$D$5)))</f>
        <v/>
      </c>
      <c r="Z23" s="3" t="str">
        <f>IF(OR($B23="",Z$3=""),"",IF('Mass Ion Calculations'!$D$6="Yes",IF('Mass Ion Calculations'!$D$7="Yes",'Mass Ion Calculations'!$D$18+'AA Exact Masses'!$Q$2-'Mass Ion Calculations'!$C$28-'Mass Ion Calculations'!$C24-'Mass Ion Calculations'!$D$5,'Mass Ion Calculations'!$F$18+'AA Exact Masses'!$Q$2-'Mass Ion Calculations'!$E$2-'Mass Ion Calculations'!$E24-'Mass Ion Calculations'!$D$5),IF('Mass Ion Calculations'!$D$7="Yes", 'Mass Ion Calculations'!$D$15+'AA Exact Masses'!$Q$2-'Mass Ion Calculations'!$C$28-'Mass Ion Calculations'!$C24-'Mass Ion Calculations'!$D$5,'Mass Ion Calculations'!$F$15+'AA Exact Masses'!$Q$2-'Mass Ion Calculations'!$E$2-'Mass Ion Calculations'!$E24-'Mass Ion Calculations'!$D$5)))</f>
        <v/>
      </c>
    </row>
    <row r="24" spans="2:26" x14ac:dyDescent="0.25">
      <c r="B24" s="4" t="str">
        <f>IF('Mass Ion Calculations'!B25="","",'Mass Ion Calculations'!B25)</f>
        <v/>
      </c>
      <c r="C24" s="3" t="str">
        <f>IF(OR($B24="",C$3=""),"",IF('Mass Ion Calculations'!$D$6="Yes",IF('Mass Ion Calculations'!$D$7="Yes",'Mass Ion Calculations'!$D$18+'AA Exact Masses'!$Q$2-'Mass Ion Calculations'!$C$5-'Mass Ion Calculations'!$C25-'Mass Ion Calculations'!$D$5,'Mass Ion Calculations'!$F$18+'AA Exact Masses'!$Q$2-'Mass Ion Calculations'!$E$5-'Mass Ion Calculations'!E25-'Mass Ion Calculations'!$D$5),IF('Mass Ion Calculations'!$D$7="Yes", 'Mass Ion Calculations'!$D$15+'AA Exact Masses'!$Q$2-'Mass Ion Calculations'!$C$5-'Mass Ion Calculations'!$C25-'Mass Ion Calculations'!$D$5,'Mass Ion Calculations'!$F$15+'AA Exact Masses'!$Q$2-'Mass Ion Calculations'!$E$5-'Mass Ion Calculations'!E25-'Mass Ion Calculations'!$D$5)))</f>
        <v/>
      </c>
      <c r="D24" s="3" t="str">
        <f>IF(OR($B24="",D$3=""),"",IF('Mass Ion Calculations'!$D$6="Yes",IF('Mass Ion Calculations'!$D$7="Yes",'Mass Ion Calculations'!$D$18+'AA Exact Masses'!$Q$2-'Mass Ion Calculations'!$C$6-'Mass Ion Calculations'!$C25-'Mass Ion Calculations'!$D$5,'Mass Ion Calculations'!$F$18+'AA Exact Masses'!$Q$2-'Mass Ion Calculations'!$E$6-'Mass Ion Calculations'!E25-'Mass Ion Calculations'!$D$5),IF('Mass Ion Calculations'!$D$7="Yes", 'Mass Ion Calculations'!$D$15+'AA Exact Masses'!$Q$2-'Mass Ion Calculations'!$C$6-'Mass Ion Calculations'!$C25-'Mass Ion Calculations'!$D$5,'Mass Ion Calculations'!$F$15+'AA Exact Masses'!$Q$2-'Mass Ion Calculations'!$E$6-'Mass Ion Calculations'!E25-'Mass Ion Calculations'!$D$5)))</f>
        <v/>
      </c>
      <c r="E24" s="3" t="str">
        <f>IF(OR($B24="",E$3=""),"",IF('Mass Ion Calculations'!$D$6="Yes",IF('Mass Ion Calculations'!$D$7="Yes",'Mass Ion Calculations'!$D$18+'AA Exact Masses'!$Q$2-'Mass Ion Calculations'!$C$7-'Mass Ion Calculations'!$C25-'Mass Ion Calculations'!$D$5,'Mass Ion Calculations'!$F$18+'AA Exact Masses'!$Q$2-'Mass Ion Calculations'!$E$7-'Mass Ion Calculations'!$E25-'Mass Ion Calculations'!$D$5),IF('Mass Ion Calculations'!$D$7="Yes", 'Mass Ion Calculations'!$D$15+'AA Exact Masses'!$Q$2-'Mass Ion Calculations'!$C$7-'Mass Ion Calculations'!$C25-'Mass Ion Calculations'!$D$5,'Mass Ion Calculations'!$F$15+'AA Exact Masses'!$Q$2-'Mass Ion Calculations'!$E$7-'Mass Ion Calculations'!$E25-'Mass Ion Calculations'!$D$5)))</f>
        <v/>
      </c>
      <c r="F24" s="3" t="str">
        <f>IF(OR($B24="",F$3=""),"",IF('Mass Ion Calculations'!$D$6="Yes",IF('Mass Ion Calculations'!$D$7="Yes",'Mass Ion Calculations'!$D$18+'AA Exact Masses'!$Q$2-'Mass Ion Calculations'!$C$8-'Mass Ion Calculations'!$C25-'Mass Ion Calculations'!$D$5,'Mass Ion Calculations'!$F$18+'AA Exact Masses'!$Q$2-'Mass Ion Calculations'!$E$8-'Mass Ion Calculations'!$E25-'Mass Ion Calculations'!$D$5),IF('Mass Ion Calculations'!$D$7="Yes", 'Mass Ion Calculations'!$D$15+'AA Exact Masses'!$Q$2-'Mass Ion Calculations'!$C$8-'Mass Ion Calculations'!$C25-'Mass Ion Calculations'!$D$5,'Mass Ion Calculations'!$F$15+'AA Exact Masses'!$Q$2-'Mass Ion Calculations'!$E$8-'Mass Ion Calculations'!$E25-'Mass Ion Calculations'!$D$5)))</f>
        <v/>
      </c>
      <c r="G24" s="3" t="str">
        <f>IF(OR($B24="",G$3=""),"",IF('Mass Ion Calculations'!$D$6="Yes",IF('Mass Ion Calculations'!$D$7="Yes",'Mass Ion Calculations'!$D$18+'AA Exact Masses'!$Q$2-'Mass Ion Calculations'!$C$9-'Mass Ion Calculations'!$C25-'Mass Ion Calculations'!$D$5,'Mass Ion Calculations'!$F$18+'AA Exact Masses'!$Q$2-'Mass Ion Calculations'!$E$9-'Mass Ion Calculations'!$E25-'Mass Ion Calculations'!$D$5),IF('Mass Ion Calculations'!$D$7="Yes", 'Mass Ion Calculations'!$D$15+'AA Exact Masses'!$Q$2-'Mass Ion Calculations'!$C$9-'Mass Ion Calculations'!$C25-'Mass Ion Calculations'!$D$5,'Mass Ion Calculations'!$F$15+'AA Exact Masses'!$Q$2-'Mass Ion Calculations'!$E$9-'Mass Ion Calculations'!$E25-'Mass Ion Calculations'!$D$5)))</f>
        <v/>
      </c>
      <c r="H24" s="3" t="str">
        <f>IF(OR($B24="",H$3=""),"",IF('Mass Ion Calculations'!$D$6="Yes",IF('Mass Ion Calculations'!$D$7="Yes",'Mass Ion Calculations'!$D$18+'AA Exact Masses'!$Q$2-'Mass Ion Calculations'!$C$10-'Mass Ion Calculations'!$C25-'Mass Ion Calculations'!$D$5,'Mass Ion Calculations'!$F$18+'AA Exact Masses'!$Q$2-'Mass Ion Calculations'!$E$10-'Mass Ion Calculations'!$E25-'Mass Ion Calculations'!$D$5),IF('Mass Ion Calculations'!$D$7="Yes", 'Mass Ion Calculations'!$D$15+'AA Exact Masses'!$Q$2-'Mass Ion Calculations'!$C$10-'Mass Ion Calculations'!$C25-'Mass Ion Calculations'!$D$5,'Mass Ion Calculations'!$F$15+'AA Exact Masses'!$Q$2-'Mass Ion Calculations'!$E$10-'Mass Ion Calculations'!$E25-'Mass Ion Calculations'!$D$5)))</f>
        <v/>
      </c>
      <c r="I24" s="3" t="str">
        <f>IF(OR($B24="",I$3=""),"",IF('Mass Ion Calculations'!$D$6="Yes",IF('Mass Ion Calculations'!$D$7="Yes",'Mass Ion Calculations'!$D$18+'AA Exact Masses'!$Q$2-'Mass Ion Calculations'!$C$11-'Mass Ion Calculations'!$C25-'Mass Ion Calculations'!$D$5,'Mass Ion Calculations'!$F$18+'AA Exact Masses'!$Q$2-'Mass Ion Calculations'!$E$11-'Mass Ion Calculations'!$E25-'Mass Ion Calculations'!$D$5),IF('Mass Ion Calculations'!$D$7="Yes", 'Mass Ion Calculations'!$D$15+'AA Exact Masses'!$Q$2-'Mass Ion Calculations'!$C$11-'Mass Ion Calculations'!$C25-'Mass Ion Calculations'!$D$5,'Mass Ion Calculations'!$F$15+'AA Exact Masses'!$Q$2-'Mass Ion Calculations'!$E$11-'Mass Ion Calculations'!$E25-'Mass Ion Calculations'!$D$5)))</f>
        <v/>
      </c>
      <c r="J24" s="3" t="str">
        <f>IF(OR($B24="",J$3=""),"",IF('Mass Ion Calculations'!$D$6="Yes",IF('Mass Ion Calculations'!$D$7="Yes",'Mass Ion Calculations'!$D$18+'AA Exact Masses'!$Q$2-'Mass Ion Calculations'!$C$12-'Mass Ion Calculations'!$C25-'Mass Ion Calculations'!$D$5,'Mass Ion Calculations'!$F$18+'AA Exact Masses'!$Q$2-'Mass Ion Calculations'!$E$12-'Mass Ion Calculations'!$E25-'Mass Ion Calculations'!$D$5),IF('Mass Ion Calculations'!$D$7="Yes", 'Mass Ion Calculations'!$D$15+'AA Exact Masses'!$Q$2-'Mass Ion Calculations'!$C$12-'Mass Ion Calculations'!$C25-'Mass Ion Calculations'!$D$5,'Mass Ion Calculations'!$F$15+'AA Exact Masses'!$Q$2-'Mass Ion Calculations'!$E$12-'Mass Ion Calculations'!$E25-'Mass Ion Calculations'!$D$5)))</f>
        <v/>
      </c>
      <c r="K24" s="3" t="str">
        <f>IF(OR($B24="",K$3=""),"",IF('Mass Ion Calculations'!$D$6="Yes",IF('Mass Ion Calculations'!$D$7="Yes",'Mass Ion Calculations'!$D$18+'AA Exact Masses'!$Q$2-'Mass Ion Calculations'!$C$13-'Mass Ion Calculations'!$C25-'Mass Ion Calculations'!$D$5,'Mass Ion Calculations'!$F$18+'AA Exact Masses'!$Q$2-'Mass Ion Calculations'!$E$14-'Mass Ion Calculations'!$E25-'Mass Ion Calculations'!$D$5),IF('Mass Ion Calculations'!$D$7="Yes", 'Mass Ion Calculations'!$D$15+'AA Exact Masses'!$Q$2-'Mass Ion Calculations'!$C$13-'Mass Ion Calculations'!$C25-'Mass Ion Calculations'!$D$5,'Mass Ion Calculations'!$F$15+'AA Exact Masses'!$Q$2-'Mass Ion Calculations'!$E$14-'Mass Ion Calculations'!$E25-'Mass Ion Calculations'!$D$5)))</f>
        <v/>
      </c>
      <c r="L24" s="3" t="str">
        <f>IF(OR($B24="",L$3=""),"",IF('Mass Ion Calculations'!$D$6="Yes",IF('Mass Ion Calculations'!$D$7="Yes",'Mass Ion Calculations'!$D$18+'AA Exact Masses'!$Q$2-'Mass Ion Calculations'!$C$14-'Mass Ion Calculations'!$C25-'Mass Ion Calculations'!$D$5,'Mass Ion Calculations'!$F$18+'AA Exact Masses'!$Q$2-'Mass Ion Calculations'!$E$15-'Mass Ion Calculations'!$E25-'Mass Ion Calculations'!$D$5),IF('Mass Ion Calculations'!$D$7="Yes", 'Mass Ion Calculations'!$D$15+'AA Exact Masses'!$Q$2-'Mass Ion Calculations'!$C$14-'Mass Ion Calculations'!$C25-'Mass Ion Calculations'!$D$5,'Mass Ion Calculations'!$F$15+'AA Exact Masses'!$Q$2-'Mass Ion Calculations'!$E$15-'Mass Ion Calculations'!$E25-'Mass Ion Calculations'!$D$5)))</f>
        <v/>
      </c>
      <c r="M24" s="3" t="str">
        <f>IF(OR($B24="",M$3=""),"",IF('Mass Ion Calculations'!$D$6="Yes",IF('Mass Ion Calculations'!$D$7="Yes",'Mass Ion Calculations'!$D$18+'AA Exact Masses'!$Q$2-'Mass Ion Calculations'!$C$15-'Mass Ion Calculations'!$C25-'Mass Ion Calculations'!$D$5,'Mass Ion Calculations'!$F$18+'AA Exact Masses'!$Q$2-'Mass Ion Calculations'!$E$16-'Mass Ion Calculations'!$E25-'Mass Ion Calculations'!$D$5),IF('Mass Ion Calculations'!$D$7="Yes", 'Mass Ion Calculations'!$D$15+'AA Exact Masses'!$Q$2-'Mass Ion Calculations'!$C$15-'Mass Ion Calculations'!$C25-'Mass Ion Calculations'!$D$5,'Mass Ion Calculations'!$F$15+'AA Exact Masses'!$Q$2-'Mass Ion Calculations'!$E$16-'Mass Ion Calculations'!$E25-'Mass Ion Calculations'!$D$5)))</f>
        <v/>
      </c>
      <c r="N24" s="3" t="str">
        <f>IF(OR($B24="",N$3=""),"",IF('Mass Ion Calculations'!$D$6="Yes",IF('Mass Ion Calculations'!$D$7="Yes",'Mass Ion Calculations'!$D$18+'AA Exact Masses'!$Q$2-'Mass Ion Calculations'!$C$16-'Mass Ion Calculations'!$C25-'Mass Ion Calculations'!$D$5,'Mass Ion Calculations'!$F$18+'AA Exact Masses'!$Q$2-'Mass Ion Calculations'!$E$17-'Mass Ion Calculations'!$E25-'Mass Ion Calculations'!$D$5),IF('Mass Ion Calculations'!$D$7="Yes", 'Mass Ion Calculations'!$D$15+'AA Exact Masses'!$Q$2-'Mass Ion Calculations'!$C$16-'Mass Ion Calculations'!$C25-'Mass Ion Calculations'!$D$5,'Mass Ion Calculations'!$F$15+'AA Exact Masses'!$Q$2-'Mass Ion Calculations'!$E$17-'Mass Ion Calculations'!$E25-'Mass Ion Calculations'!$D$5)))</f>
        <v/>
      </c>
      <c r="O24" s="3" t="str">
        <f>IF(OR($B24="",O$3=""),"",IF('Mass Ion Calculations'!$D$6="Yes",IF('Mass Ion Calculations'!$D$7="Yes",'Mass Ion Calculations'!$D$18+'AA Exact Masses'!$Q$2-'Mass Ion Calculations'!$C$17-'Mass Ion Calculations'!$C25-'Mass Ion Calculations'!$D$5,'Mass Ion Calculations'!$F$18+'AA Exact Masses'!$Q$2-'Mass Ion Calculations'!$E$18-'Mass Ion Calculations'!$E25-'Mass Ion Calculations'!$D$5),IF('Mass Ion Calculations'!$D$7="Yes", 'Mass Ion Calculations'!$D$15+'AA Exact Masses'!$Q$2-'Mass Ion Calculations'!$C$17-'Mass Ion Calculations'!$C25-'Mass Ion Calculations'!$D$5,'Mass Ion Calculations'!$F$15+'AA Exact Masses'!$Q$2-'Mass Ion Calculations'!$E$18-'Mass Ion Calculations'!$E25-'Mass Ion Calculations'!$D$5)))</f>
        <v/>
      </c>
      <c r="P24" s="3" t="str">
        <f>IF(OR($B24="",P$3=""),"",IF('Mass Ion Calculations'!$D$6="Yes",IF('Mass Ion Calculations'!$D$7="Yes",'Mass Ion Calculations'!$D$18+'AA Exact Masses'!$Q$2-'Mass Ion Calculations'!$C$18-'Mass Ion Calculations'!$C25-'Mass Ion Calculations'!$D$5,'Mass Ion Calculations'!$F$18+'AA Exact Masses'!$Q$2-'Mass Ion Calculations'!#REF!-'Mass Ion Calculations'!$E25-'Mass Ion Calculations'!$D$5),IF('Mass Ion Calculations'!$D$7="Yes", 'Mass Ion Calculations'!$D$15+'AA Exact Masses'!$Q$2-'Mass Ion Calculations'!$C$18-'Mass Ion Calculations'!$C25-'Mass Ion Calculations'!$D$5,'Mass Ion Calculations'!$F$15+'AA Exact Masses'!$Q$2-'Mass Ion Calculations'!#REF!-'Mass Ion Calculations'!$E25-'Mass Ion Calculations'!$D$5)))</f>
        <v/>
      </c>
      <c r="Q24" s="3" t="str">
        <f>IF(OR($B24="",Q$3=""),"",IF('Mass Ion Calculations'!$D$6="Yes",IF('Mass Ion Calculations'!$D$7="Yes",'Mass Ion Calculations'!$D$18+'AA Exact Masses'!$Q$2-'Mass Ion Calculations'!$C$19-'Mass Ion Calculations'!$C25-'Mass Ion Calculations'!$D$5,'Mass Ion Calculations'!$F$18+'AA Exact Masses'!$Q$2-'Mass Ion Calculations'!$E$19-'Mass Ion Calculations'!$E25-'Mass Ion Calculations'!$D$5),IF('Mass Ion Calculations'!$D$7="Yes", 'Mass Ion Calculations'!$D$15+'AA Exact Masses'!$Q$2-'Mass Ion Calculations'!$C$19-'Mass Ion Calculations'!$C25-'Mass Ion Calculations'!$D$5,'Mass Ion Calculations'!$F$15+'AA Exact Masses'!$Q$2-'Mass Ion Calculations'!$E$19-'Mass Ion Calculations'!$E25-'Mass Ion Calculations'!$D$5)))</f>
        <v/>
      </c>
      <c r="R24" s="3" t="str">
        <f>IF(OR($B24="",R$3=""),"",IF('Mass Ion Calculations'!$D$6="Yes",IF('Mass Ion Calculations'!$D$7="Yes",'Mass Ion Calculations'!$D$18+'AA Exact Masses'!$Q$2-'Mass Ion Calculations'!$C$20-'Mass Ion Calculations'!$C25-'Mass Ion Calculations'!$D$5,'Mass Ion Calculations'!$F$18+'AA Exact Masses'!$Q$2-'Mass Ion Calculations'!$E$20-'Mass Ion Calculations'!$E25-'Mass Ion Calculations'!$D$5),IF('Mass Ion Calculations'!$D$7="Yes", 'Mass Ion Calculations'!$D$15+'AA Exact Masses'!$Q$2-'Mass Ion Calculations'!$C$20-'Mass Ion Calculations'!$C25-'Mass Ion Calculations'!$D$5,'Mass Ion Calculations'!$F$15+'AA Exact Masses'!$Q$2-'Mass Ion Calculations'!$E$20-'Mass Ion Calculations'!$E25-'Mass Ion Calculations'!$D$5)))</f>
        <v/>
      </c>
      <c r="S24" s="3" t="str">
        <f>IF(OR($B24="",S$3=""),"",IF('Mass Ion Calculations'!$D$6="Yes",IF('Mass Ion Calculations'!$D$7="Yes",'Mass Ion Calculations'!$D$18+'AA Exact Masses'!$Q$2-'Mass Ion Calculations'!$C$21-'Mass Ion Calculations'!$C25-'Mass Ion Calculations'!$D$5,'Mass Ion Calculations'!$F$18+'AA Exact Masses'!$Q$2-'Mass Ion Calculations'!$E$21-'Mass Ion Calculations'!$E25-'Mass Ion Calculations'!$D$5),IF('Mass Ion Calculations'!$D$7="Yes", 'Mass Ion Calculations'!$D$15+'AA Exact Masses'!$Q$2-'Mass Ion Calculations'!$C$21-'Mass Ion Calculations'!$C25-'Mass Ion Calculations'!$D$5,'Mass Ion Calculations'!$F$15+'AA Exact Masses'!$Q$2-'Mass Ion Calculations'!$E$21-'Mass Ion Calculations'!$E25-'Mass Ion Calculations'!$D$5)))</f>
        <v/>
      </c>
      <c r="T24" s="3" t="str">
        <f>IF(OR($B24="",T$3=""),"",IF('Mass Ion Calculations'!$D$6="Yes",IF('Mass Ion Calculations'!$D$7="Yes",'Mass Ion Calculations'!$D$18+'AA Exact Masses'!$Q$2-'Mass Ion Calculations'!$C$22-'Mass Ion Calculations'!$C25-'Mass Ion Calculations'!$D$5,'Mass Ion Calculations'!$F$18+'AA Exact Masses'!$Q$2-'Mass Ion Calculations'!$E$22-'Mass Ion Calculations'!$E25-'Mass Ion Calculations'!$D$5),IF('Mass Ion Calculations'!$D$7="Yes", 'Mass Ion Calculations'!$D$15+'AA Exact Masses'!$Q$2-'Mass Ion Calculations'!$C$22-'Mass Ion Calculations'!$C25-'Mass Ion Calculations'!$D$5,'Mass Ion Calculations'!$F$15+'AA Exact Masses'!$Q$2-'Mass Ion Calculations'!$E$22-'Mass Ion Calculations'!$E25-'Mass Ion Calculations'!$D$5)))</f>
        <v/>
      </c>
      <c r="U24" s="3" t="str">
        <f>IF(OR($B24="",U$3=""),"",IF('Mass Ion Calculations'!$D$6="Yes",IF('Mass Ion Calculations'!$D$7="Yes",'Mass Ion Calculations'!$D$18+'AA Exact Masses'!$Q$2-'Mass Ion Calculations'!$C$23-'Mass Ion Calculations'!$C25-'Mass Ion Calculations'!$D$5,'Mass Ion Calculations'!$F$18+'AA Exact Masses'!$Q$2-'Mass Ion Calculations'!$E$23-'Mass Ion Calculations'!$E25-'Mass Ion Calculations'!$D$5),IF('Mass Ion Calculations'!$D$7="Yes", 'Mass Ion Calculations'!$D$15+'AA Exact Masses'!$Q$2-'Mass Ion Calculations'!$C$23-'Mass Ion Calculations'!$C25-'Mass Ion Calculations'!$D$5,'Mass Ion Calculations'!$F$15+'AA Exact Masses'!$Q$2-'Mass Ion Calculations'!$E$23-'Mass Ion Calculations'!$E25-'Mass Ion Calculations'!$D$5)))</f>
        <v/>
      </c>
      <c r="V24" s="3" t="str">
        <f>IF(OR($B24="",V$3=""),"",IF('Mass Ion Calculations'!$D$6="Yes",IF('Mass Ion Calculations'!$D$7="Yes",'Mass Ion Calculations'!$D$18+'AA Exact Masses'!$Q$2-'Mass Ion Calculations'!$C$24-'Mass Ion Calculations'!$C25-'Mass Ion Calculations'!$D$5,'Mass Ion Calculations'!$F$18+'AA Exact Masses'!$Q$2-'Mass Ion Calculations'!$E$24-'Mass Ion Calculations'!$E25-'Mass Ion Calculations'!$D$5),IF('Mass Ion Calculations'!$D$7="Yes", 'Mass Ion Calculations'!$D$15+'AA Exact Masses'!$Q$2-'Mass Ion Calculations'!$C$24-'Mass Ion Calculations'!$C25-'Mass Ion Calculations'!$D$5,'Mass Ion Calculations'!$F$15+'AA Exact Masses'!$Q$2-'Mass Ion Calculations'!$E$24-'Mass Ion Calculations'!$E25-'Mass Ion Calculations'!$D$5)))</f>
        <v/>
      </c>
      <c r="W24" s="3" t="str">
        <f>IF(OR($B24="",W$3=""),"",IF('Mass Ion Calculations'!$D$6="Yes",IF('Mass Ion Calculations'!$D$7="Yes",'Mass Ion Calculations'!$D$18+'AA Exact Masses'!$Q$2-'Mass Ion Calculations'!$C$25-'Mass Ion Calculations'!$C25-'Mass Ion Calculations'!$D$5,'Mass Ion Calculations'!$F$18+'AA Exact Masses'!$Q$2-'Mass Ion Calculations'!$E$25-'Mass Ion Calculations'!$E25-'Mass Ion Calculations'!$D$5),IF('Mass Ion Calculations'!$D$7="Yes", 'Mass Ion Calculations'!$D$15+'AA Exact Masses'!$Q$2-'Mass Ion Calculations'!$C$25-'Mass Ion Calculations'!$C25-'Mass Ion Calculations'!$D$5,'Mass Ion Calculations'!$F$15+'AA Exact Masses'!$Q$2-'Mass Ion Calculations'!$E$25-'Mass Ion Calculations'!$E25-'Mass Ion Calculations'!$D$5)))</f>
        <v/>
      </c>
      <c r="X24" s="3" t="str">
        <f>IF(OR($B24="",X$3=""),"",IF('Mass Ion Calculations'!$D$6="Yes",IF('Mass Ion Calculations'!$D$7="Yes",'Mass Ion Calculations'!$D$18+'AA Exact Masses'!$Q$2-'Mass Ion Calculations'!$C$26-'Mass Ion Calculations'!$C25-'Mass Ion Calculations'!$D$5,'Mass Ion Calculations'!$F$18+'AA Exact Masses'!$Q$2-'Mass Ion Calculations'!$E$26-'Mass Ion Calculations'!$E25-'Mass Ion Calculations'!$D$5),IF('Mass Ion Calculations'!$D$7="Yes", 'Mass Ion Calculations'!$D$15+'AA Exact Masses'!$Q$2-'Mass Ion Calculations'!$C$26-'Mass Ion Calculations'!$C25-'Mass Ion Calculations'!$D$5,'Mass Ion Calculations'!$F$15+'AA Exact Masses'!$Q$2-'Mass Ion Calculations'!$E$26-'Mass Ion Calculations'!$E25-'Mass Ion Calculations'!$D$5)))</f>
        <v/>
      </c>
      <c r="Y24" s="3" t="str">
        <f>IF(OR($B24="",Y$3=""),"",IF('Mass Ion Calculations'!$D$6="Yes",IF('Mass Ion Calculations'!$D$7="Yes",'Mass Ion Calculations'!$D$18+'AA Exact Masses'!$Q$2-'Mass Ion Calculations'!$C$27-'Mass Ion Calculations'!$C25-'Mass Ion Calculations'!$D$5,'Mass Ion Calculations'!$F$18+'AA Exact Masses'!$Q$2-'Mass Ion Calculations'!$E$27-'Mass Ion Calculations'!$E25-'Mass Ion Calculations'!$D$5),IF('Mass Ion Calculations'!$D$7="Yes", 'Mass Ion Calculations'!$D$15+'AA Exact Masses'!$Q$2-'Mass Ion Calculations'!$C$27-'Mass Ion Calculations'!$C25-'Mass Ion Calculations'!$D$5,'Mass Ion Calculations'!$F$15+'AA Exact Masses'!$Q$2-'Mass Ion Calculations'!$E$27-'Mass Ion Calculations'!$E25-'Mass Ion Calculations'!$D$5)))</f>
        <v/>
      </c>
      <c r="Z24" s="3" t="str">
        <f>IF(OR($B24="",Z$3=""),"",IF('Mass Ion Calculations'!$D$6="Yes",IF('Mass Ion Calculations'!$D$7="Yes",'Mass Ion Calculations'!$D$18+'AA Exact Masses'!$Q$2-'Mass Ion Calculations'!$C$28-'Mass Ion Calculations'!$C25-'Mass Ion Calculations'!$D$5,'Mass Ion Calculations'!$F$18+'AA Exact Masses'!$Q$2-'Mass Ion Calculations'!$E$2-'Mass Ion Calculations'!$E25-'Mass Ion Calculations'!$D$5),IF('Mass Ion Calculations'!$D$7="Yes", 'Mass Ion Calculations'!$D$15+'AA Exact Masses'!$Q$2-'Mass Ion Calculations'!$C$28-'Mass Ion Calculations'!$C25-'Mass Ion Calculations'!$D$5,'Mass Ion Calculations'!$F$15+'AA Exact Masses'!$Q$2-'Mass Ion Calculations'!$E$2-'Mass Ion Calculations'!$E25-'Mass Ion Calculations'!$D$5)))</f>
        <v/>
      </c>
    </row>
    <row r="25" spans="2:26" x14ac:dyDescent="0.25">
      <c r="B25" s="4" t="str">
        <f>IF('Mass Ion Calculations'!B26="","",'Mass Ion Calculations'!B26)</f>
        <v/>
      </c>
      <c r="C25" s="3" t="str">
        <f>IF(OR($B25="",C$3=""),"",IF('Mass Ion Calculations'!$D$6="Yes",IF('Mass Ion Calculations'!$D$7="Yes",'Mass Ion Calculations'!$D$18+'AA Exact Masses'!$Q$2-'Mass Ion Calculations'!$C$5-'Mass Ion Calculations'!$C26-'Mass Ion Calculations'!$D$5,'Mass Ion Calculations'!$F$18+'AA Exact Masses'!$Q$2-'Mass Ion Calculations'!$E$5-'Mass Ion Calculations'!E26-'Mass Ion Calculations'!$D$5),IF('Mass Ion Calculations'!$D$7="Yes", 'Mass Ion Calculations'!$D$15+'AA Exact Masses'!$Q$2-'Mass Ion Calculations'!$C$5-'Mass Ion Calculations'!$C26-'Mass Ion Calculations'!$D$5,'Mass Ion Calculations'!$F$15+'AA Exact Masses'!$Q$2-'Mass Ion Calculations'!$E$5-'Mass Ion Calculations'!E26-'Mass Ion Calculations'!$D$5)))</f>
        <v/>
      </c>
      <c r="D25" s="3" t="str">
        <f>IF(OR($B25="",D$3=""),"",IF('Mass Ion Calculations'!$D$6="Yes",IF('Mass Ion Calculations'!$D$7="Yes",'Mass Ion Calculations'!$D$18+'AA Exact Masses'!$Q$2-'Mass Ion Calculations'!$C$6-'Mass Ion Calculations'!$C26-'Mass Ion Calculations'!$D$5,'Mass Ion Calculations'!$F$18+'AA Exact Masses'!$Q$2-'Mass Ion Calculations'!$E$6-'Mass Ion Calculations'!E26-'Mass Ion Calculations'!$D$5),IF('Mass Ion Calculations'!$D$7="Yes", 'Mass Ion Calculations'!$D$15+'AA Exact Masses'!$Q$2-'Mass Ion Calculations'!$C$6-'Mass Ion Calculations'!$C26-'Mass Ion Calculations'!$D$5,'Mass Ion Calculations'!$F$15+'AA Exact Masses'!$Q$2-'Mass Ion Calculations'!$E$6-'Mass Ion Calculations'!E26-'Mass Ion Calculations'!$D$5)))</f>
        <v/>
      </c>
      <c r="E25" s="3" t="str">
        <f>IF(OR($B25="",E$3=""),"",IF('Mass Ion Calculations'!$D$6="Yes",IF('Mass Ion Calculations'!$D$7="Yes",'Mass Ion Calculations'!$D$18+'AA Exact Masses'!$Q$2-'Mass Ion Calculations'!$C$7-'Mass Ion Calculations'!$C26-'Mass Ion Calculations'!$D$5,'Mass Ion Calculations'!$F$18+'AA Exact Masses'!$Q$2-'Mass Ion Calculations'!$E$7-'Mass Ion Calculations'!$E26-'Mass Ion Calculations'!$D$5),IF('Mass Ion Calculations'!$D$7="Yes", 'Mass Ion Calculations'!$D$15+'AA Exact Masses'!$Q$2-'Mass Ion Calculations'!$C$7-'Mass Ion Calculations'!$C26-'Mass Ion Calculations'!$D$5,'Mass Ion Calculations'!$F$15+'AA Exact Masses'!$Q$2-'Mass Ion Calculations'!$E$7-'Mass Ion Calculations'!$E26-'Mass Ion Calculations'!$D$5)))</f>
        <v/>
      </c>
      <c r="F25" s="3" t="str">
        <f>IF(OR($B25="",F$3=""),"",IF('Mass Ion Calculations'!$D$6="Yes",IF('Mass Ion Calculations'!$D$7="Yes",'Mass Ion Calculations'!$D$18+'AA Exact Masses'!$Q$2-'Mass Ion Calculations'!$C$8-'Mass Ion Calculations'!$C26-'Mass Ion Calculations'!$D$5,'Mass Ion Calculations'!$F$18+'AA Exact Masses'!$Q$2-'Mass Ion Calculations'!$E$8-'Mass Ion Calculations'!$E26-'Mass Ion Calculations'!$D$5),IF('Mass Ion Calculations'!$D$7="Yes", 'Mass Ion Calculations'!$D$15+'AA Exact Masses'!$Q$2-'Mass Ion Calculations'!$C$8-'Mass Ion Calculations'!$C26-'Mass Ion Calculations'!$D$5,'Mass Ion Calculations'!$F$15+'AA Exact Masses'!$Q$2-'Mass Ion Calculations'!$E$8-'Mass Ion Calculations'!$E26-'Mass Ion Calculations'!$D$5)))</f>
        <v/>
      </c>
      <c r="G25" s="3" t="str">
        <f>IF(OR($B25="",G$3=""),"",IF('Mass Ion Calculations'!$D$6="Yes",IF('Mass Ion Calculations'!$D$7="Yes",'Mass Ion Calculations'!$D$18+'AA Exact Masses'!$Q$2-'Mass Ion Calculations'!$C$9-'Mass Ion Calculations'!$C26-'Mass Ion Calculations'!$D$5,'Mass Ion Calculations'!$F$18+'AA Exact Masses'!$Q$2-'Mass Ion Calculations'!$E$9-'Mass Ion Calculations'!$E26-'Mass Ion Calculations'!$D$5),IF('Mass Ion Calculations'!$D$7="Yes", 'Mass Ion Calculations'!$D$15+'AA Exact Masses'!$Q$2-'Mass Ion Calculations'!$C$9-'Mass Ion Calculations'!$C26-'Mass Ion Calculations'!$D$5,'Mass Ion Calculations'!$F$15+'AA Exact Masses'!$Q$2-'Mass Ion Calculations'!$E$9-'Mass Ion Calculations'!$E26-'Mass Ion Calculations'!$D$5)))</f>
        <v/>
      </c>
      <c r="H25" s="3" t="str">
        <f>IF(OR($B25="",H$3=""),"",IF('Mass Ion Calculations'!$D$6="Yes",IF('Mass Ion Calculations'!$D$7="Yes",'Mass Ion Calculations'!$D$18+'AA Exact Masses'!$Q$2-'Mass Ion Calculations'!$C$10-'Mass Ion Calculations'!$C26-'Mass Ion Calculations'!$D$5,'Mass Ion Calculations'!$F$18+'AA Exact Masses'!$Q$2-'Mass Ion Calculations'!$E$10-'Mass Ion Calculations'!$E26-'Mass Ion Calculations'!$D$5),IF('Mass Ion Calculations'!$D$7="Yes", 'Mass Ion Calculations'!$D$15+'AA Exact Masses'!$Q$2-'Mass Ion Calculations'!$C$10-'Mass Ion Calculations'!$C26-'Mass Ion Calculations'!$D$5,'Mass Ion Calculations'!$F$15+'AA Exact Masses'!$Q$2-'Mass Ion Calculations'!$E$10-'Mass Ion Calculations'!$E26-'Mass Ion Calculations'!$D$5)))</f>
        <v/>
      </c>
      <c r="I25" s="3" t="str">
        <f>IF(OR($B25="",I$3=""),"",IF('Mass Ion Calculations'!$D$6="Yes",IF('Mass Ion Calculations'!$D$7="Yes",'Mass Ion Calculations'!$D$18+'AA Exact Masses'!$Q$2-'Mass Ion Calculations'!$C$11-'Mass Ion Calculations'!$C26-'Mass Ion Calculations'!$D$5,'Mass Ion Calculations'!$F$18+'AA Exact Masses'!$Q$2-'Mass Ion Calculations'!$E$11-'Mass Ion Calculations'!$E26-'Mass Ion Calculations'!$D$5),IF('Mass Ion Calculations'!$D$7="Yes", 'Mass Ion Calculations'!$D$15+'AA Exact Masses'!$Q$2-'Mass Ion Calculations'!$C$11-'Mass Ion Calculations'!$C26-'Mass Ion Calculations'!$D$5,'Mass Ion Calculations'!$F$15+'AA Exact Masses'!$Q$2-'Mass Ion Calculations'!$E$11-'Mass Ion Calculations'!$E26-'Mass Ion Calculations'!$D$5)))</f>
        <v/>
      </c>
      <c r="J25" s="3" t="str">
        <f>IF(OR($B25="",J$3=""),"",IF('Mass Ion Calculations'!$D$6="Yes",IF('Mass Ion Calculations'!$D$7="Yes",'Mass Ion Calculations'!$D$18+'AA Exact Masses'!$Q$2-'Mass Ion Calculations'!$C$12-'Mass Ion Calculations'!$C26-'Mass Ion Calculations'!$D$5,'Mass Ion Calculations'!$F$18+'AA Exact Masses'!$Q$2-'Mass Ion Calculations'!$E$12-'Mass Ion Calculations'!$E26-'Mass Ion Calculations'!$D$5),IF('Mass Ion Calculations'!$D$7="Yes", 'Mass Ion Calculations'!$D$15+'AA Exact Masses'!$Q$2-'Mass Ion Calculations'!$C$12-'Mass Ion Calculations'!$C26-'Mass Ion Calculations'!$D$5,'Mass Ion Calculations'!$F$15+'AA Exact Masses'!$Q$2-'Mass Ion Calculations'!$E$12-'Mass Ion Calculations'!$E26-'Mass Ion Calculations'!$D$5)))</f>
        <v/>
      </c>
      <c r="K25" s="3" t="str">
        <f>IF(OR($B25="",K$3=""),"",IF('Mass Ion Calculations'!$D$6="Yes",IF('Mass Ion Calculations'!$D$7="Yes",'Mass Ion Calculations'!$D$18+'AA Exact Masses'!$Q$2-'Mass Ion Calculations'!$C$13-'Mass Ion Calculations'!$C26-'Mass Ion Calculations'!$D$5,'Mass Ion Calculations'!$F$18+'AA Exact Masses'!$Q$2-'Mass Ion Calculations'!$E$14-'Mass Ion Calculations'!$E26-'Mass Ion Calculations'!$D$5),IF('Mass Ion Calculations'!$D$7="Yes", 'Mass Ion Calculations'!$D$15+'AA Exact Masses'!$Q$2-'Mass Ion Calculations'!$C$13-'Mass Ion Calculations'!$C26-'Mass Ion Calculations'!$D$5,'Mass Ion Calculations'!$F$15+'AA Exact Masses'!$Q$2-'Mass Ion Calculations'!$E$14-'Mass Ion Calculations'!$E26-'Mass Ion Calculations'!$D$5)))</f>
        <v/>
      </c>
      <c r="L25" s="3" t="str">
        <f>IF(OR($B25="",L$3=""),"",IF('Mass Ion Calculations'!$D$6="Yes",IF('Mass Ion Calculations'!$D$7="Yes",'Mass Ion Calculations'!$D$18+'AA Exact Masses'!$Q$2-'Mass Ion Calculations'!$C$14-'Mass Ion Calculations'!$C26-'Mass Ion Calculations'!$D$5,'Mass Ion Calculations'!$F$18+'AA Exact Masses'!$Q$2-'Mass Ion Calculations'!$E$15-'Mass Ion Calculations'!$E26-'Mass Ion Calculations'!$D$5),IF('Mass Ion Calculations'!$D$7="Yes", 'Mass Ion Calculations'!$D$15+'AA Exact Masses'!$Q$2-'Mass Ion Calculations'!$C$14-'Mass Ion Calculations'!$C26-'Mass Ion Calculations'!$D$5,'Mass Ion Calculations'!$F$15+'AA Exact Masses'!$Q$2-'Mass Ion Calculations'!$E$15-'Mass Ion Calculations'!$E26-'Mass Ion Calculations'!$D$5)))</f>
        <v/>
      </c>
      <c r="M25" s="3" t="str">
        <f>IF(OR($B25="",M$3=""),"",IF('Mass Ion Calculations'!$D$6="Yes",IF('Mass Ion Calculations'!$D$7="Yes",'Mass Ion Calculations'!$D$18+'AA Exact Masses'!$Q$2-'Mass Ion Calculations'!$C$15-'Mass Ion Calculations'!$C26-'Mass Ion Calculations'!$D$5,'Mass Ion Calculations'!$F$18+'AA Exact Masses'!$Q$2-'Mass Ion Calculations'!$E$16-'Mass Ion Calculations'!$E26-'Mass Ion Calculations'!$D$5),IF('Mass Ion Calculations'!$D$7="Yes", 'Mass Ion Calculations'!$D$15+'AA Exact Masses'!$Q$2-'Mass Ion Calculations'!$C$15-'Mass Ion Calculations'!$C26-'Mass Ion Calculations'!$D$5,'Mass Ion Calculations'!$F$15+'AA Exact Masses'!$Q$2-'Mass Ion Calculations'!$E$16-'Mass Ion Calculations'!$E26-'Mass Ion Calculations'!$D$5)))</f>
        <v/>
      </c>
      <c r="N25" s="3" t="str">
        <f>IF(OR($B25="",N$3=""),"",IF('Mass Ion Calculations'!$D$6="Yes",IF('Mass Ion Calculations'!$D$7="Yes",'Mass Ion Calculations'!$D$18+'AA Exact Masses'!$Q$2-'Mass Ion Calculations'!$C$16-'Mass Ion Calculations'!$C26-'Mass Ion Calculations'!$D$5,'Mass Ion Calculations'!$F$18+'AA Exact Masses'!$Q$2-'Mass Ion Calculations'!$E$17-'Mass Ion Calculations'!$E26-'Mass Ion Calculations'!$D$5),IF('Mass Ion Calculations'!$D$7="Yes", 'Mass Ion Calculations'!$D$15+'AA Exact Masses'!$Q$2-'Mass Ion Calculations'!$C$16-'Mass Ion Calculations'!$C26-'Mass Ion Calculations'!$D$5,'Mass Ion Calculations'!$F$15+'AA Exact Masses'!$Q$2-'Mass Ion Calculations'!$E$17-'Mass Ion Calculations'!$E26-'Mass Ion Calculations'!$D$5)))</f>
        <v/>
      </c>
      <c r="O25" s="3" t="str">
        <f>IF(OR($B25="",O$3=""),"",IF('Mass Ion Calculations'!$D$6="Yes",IF('Mass Ion Calculations'!$D$7="Yes",'Mass Ion Calculations'!$D$18+'AA Exact Masses'!$Q$2-'Mass Ion Calculations'!$C$17-'Mass Ion Calculations'!$C26-'Mass Ion Calculations'!$D$5,'Mass Ion Calculations'!$F$18+'AA Exact Masses'!$Q$2-'Mass Ion Calculations'!$E$18-'Mass Ion Calculations'!$E26-'Mass Ion Calculations'!$D$5),IF('Mass Ion Calculations'!$D$7="Yes", 'Mass Ion Calculations'!$D$15+'AA Exact Masses'!$Q$2-'Mass Ion Calculations'!$C$17-'Mass Ion Calculations'!$C26-'Mass Ion Calculations'!$D$5,'Mass Ion Calculations'!$F$15+'AA Exact Masses'!$Q$2-'Mass Ion Calculations'!$E$18-'Mass Ion Calculations'!$E26-'Mass Ion Calculations'!$D$5)))</f>
        <v/>
      </c>
      <c r="P25" s="3" t="str">
        <f>IF(OR($B25="",P$3=""),"",IF('Mass Ion Calculations'!$D$6="Yes",IF('Mass Ion Calculations'!$D$7="Yes",'Mass Ion Calculations'!$D$18+'AA Exact Masses'!$Q$2-'Mass Ion Calculations'!$C$18-'Mass Ion Calculations'!$C26-'Mass Ion Calculations'!$D$5,'Mass Ion Calculations'!$F$18+'AA Exact Masses'!$Q$2-'Mass Ion Calculations'!#REF!-'Mass Ion Calculations'!$E26-'Mass Ion Calculations'!$D$5),IF('Mass Ion Calculations'!$D$7="Yes", 'Mass Ion Calculations'!$D$15+'AA Exact Masses'!$Q$2-'Mass Ion Calculations'!$C$18-'Mass Ion Calculations'!$C26-'Mass Ion Calculations'!$D$5,'Mass Ion Calculations'!$F$15+'AA Exact Masses'!$Q$2-'Mass Ion Calculations'!#REF!-'Mass Ion Calculations'!$E26-'Mass Ion Calculations'!$D$5)))</f>
        <v/>
      </c>
      <c r="Q25" s="3" t="str">
        <f>IF(OR($B25="",Q$3=""),"",IF('Mass Ion Calculations'!$D$6="Yes",IF('Mass Ion Calculations'!$D$7="Yes",'Mass Ion Calculations'!$D$18+'AA Exact Masses'!$Q$2-'Mass Ion Calculations'!$C$19-'Mass Ion Calculations'!$C26-'Mass Ion Calculations'!$D$5,'Mass Ion Calculations'!$F$18+'AA Exact Masses'!$Q$2-'Mass Ion Calculations'!$E$19-'Mass Ion Calculations'!$E26-'Mass Ion Calculations'!$D$5),IF('Mass Ion Calculations'!$D$7="Yes", 'Mass Ion Calculations'!$D$15+'AA Exact Masses'!$Q$2-'Mass Ion Calculations'!$C$19-'Mass Ion Calculations'!$C26-'Mass Ion Calculations'!$D$5,'Mass Ion Calculations'!$F$15+'AA Exact Masses'!$Q$2-'Mass Ion Calculations'!$E$19-'Mass Ion Calculations'!$E26-'Mass Ion Calculations'!$D$5)))</f>
        <v/>
      </c>
      <c r="R25" s="3" t="str">
        <f>IF(OR($B25="",R$3=""),"",IF('Mass Ion Calculations'!$D$6="Yes",IF('Mass Ion Calculations'!$D$7="Yes",'Mass Ion Calculations'!$D$18+'AA Exact Masses'!$Q$2-'Mass Ion Calculations'!$C$20-'Mass Ion Calculations'!$C26-'Mass Ion Calculations'!$D$5,'Mass Ion Calculations'!$F$18+'AA Exact Masses'!$Q$2-'Mass Ion Calculations'!$E$20-'Mass Ion Calculations'!$E26-'Mass Ion Calculations'!$D$5),IF('Mass Ion Calculations'!$D$7="Yes", 'Mass Ion Calculations'!$D$15+'AA Exact Masses'!$Q$2-'Mass Ion Calculations'!$C$20-'Mass Ion Calculations'!$C26-'Mass Ion Calculations'!$D$5,'Mass Ion Calculations'!$F$15+'AA Exact Masses'!$Q$2-'Mass Ion Calculations'!$E$20-'Mass Ion Calculations'!$E26-'Mass Ion Calculations'!$D$5)))</f>
        <v/>
      </c>
      <c r="S25" s="3" t="str">
        <f>IF(OR($B25="",S$3=""),"",IF('Mass Ion Calculations'!$D$6="Yes",IF('Mass Ion Calculations'!$D$7="Yes",'Mass Ion Calculations'!$D$18+'AA Exact Masses'!$Q$2-'Mass Ion Calculations'!$C$21-'Mass Ion Calculations'!$C26-'Mass Ion Calculations'!$D$5,'Mass Ion Calculations'!$F$18+'AA Exact Masses'!$Q$2-'Mass Ion Calculations'!$E$21-'Mass Ion Calculations'!$E26-'Mass Ion Calculations'!$D$5),IF('Mass Ion Calculations'!$D$7="Yes", 'Mass Ion Calculations'!$D$15+'AA Exact Masses'!$Q$2-'Mass Ion Calculations'!$C$21-'Mass Ion Calculations'!$C26-'Mass Ion Calculations'!$D$5,'Mass Ion Calculations'!$F$15+'AA Exact Masses'!$Q$2-'Mass Ion Calculations'!$E$21-'Mass Ion Calculations'!$E26-'Mass Ion Calculations'!$D$5)))</f>
        <v/>
      </c>
      <c r="T25" s="3" t="str">
        <f>IF(OR($B25="",T$3=""),"",IF('Mass Ion Calculations'!$D$6="Yes",IF('Mass Ion Calculations'!$D$7="Yes",'Mass Ion Calculations'!$D$18+'AA Exact Masses'!$Q$2-'Mass Ion Calculations'!$C$22-'Mass Ion Calculations'!$C26-'Mass Ion Calculations'!$D$5,'Mass Ion Calculations'!$F$18+'AA Exact Masses'!$Q$2-'Mass Ion Calculations'!$E$22-'Mass Ion Calculations'!$E26-'Mass Ion Calculations'!$D$5),IF('Mass Ion Calculations'!$D$7="Yes", 'Mass Ion Calculations'!$D$15+'AA Exact Masses'!$Q$2-'Mass Ion Calculations'!$C$22-'Mass Ion Calculations'!$C26-'Mass Ion Calculations'!$D$5,'Mass Ion Calculations'!$F$15+'AA Exact Masses'!$Q$2-'Mass Ion Calculations'!$E$22-'Mass Ion Calculations'!$E26-'Mass Ion Calculations'!$D$5)))</f>
        <v/>
      </c>
      <c r="U25" s="3" t="str">
        <f>IF(OR($B25="",U$3=""),"",IF('Mass Ion Calculations'!$D$6="Yes",IF('Mass Ion Calculations'!$D$7="Yes",'Mass Ion Calculations'!$D$18+'AA Exact Masses'!$Q$2-'Mass Ion Calculations'!$C$23-'Mass Ion Calculations'!$C26-'Mass Ion Calculations'!$D$5,'Mass Ion Calculations'!$F$18+'AA Exact Masses'!$Q$2-'Mass Ion Calculations'!$E$23-'Mass Ion Calculations'!$E26-'Mass Ion Calculations'!$D$5),IF('Mass Ion Calculations'!$D$7="Yes", 'Mass Ion Calculations'!$D$15+'AA Exact Masses'!$Q$2-'Mass Ion Calculations'!$C$23-'Mass Ion Calculations'!$C26-'Mass Ion Calculations'!$D$5,'Mass Ion Calculations'!$F$15+'AA Exact Masses'!$Q$2-'Mass Ion Calculations'!$E$23-'Mass Ion Calculations'!$E26-'Mass Ion Calculations'!$D$5)))</f>
        <v/>
      </c>
      <c r="V25" s="3" t="str">
        <f>IF(OR($B25="",V$3=""),"",IF('Mass Ion Calculations'!$D$6="Yes",IF('Mass Ion Calculations'!$D$7="Yes",'Mass Ion Calculations'!$D$18+'AA Exact Masses'!$Q$2-'Mass Ion Calculations'!$C$24-'Mass Ion Calculations'!$C26-'Mass Ion Calculations'!$D$5,'Mass Ion Calculations'!$F$18+'AA Exact Masses'!$Q$2-'Mass Ion Calculations'!$E$24-'Mass Ion Calculations'!$E26-'Mass Ion Calculations'!$D$5),IF('Mass Ion Calculations'!$D$7="Yes", 'Mass Ion Calculations'!$D$15+'AA Exact Masses'!$Q$2-'Mass Ion Calculations'!$C$24-'Mass Ion Calculations'!$C26-'Mass Ion Calculations'!$D$5,'Mass Ion Calculations'!$F$15+'AA Exact Masses'!$Q$2-'Mass Ion Calculations'!$E$24-'Mass Ion Calculations'!$E26-'Mass Ion Calculations'!$D$5)))</f>
        <v/>
      </c>
      <c r="W25" s="3" t="str">
        <f>IF(OR($B25="",W$3=""),"",IF('Mass Ion Calculations'!$D$6="Yes",IF('Mass Ion Calculations'!$D$7="Yes",'Mass Ion Calculations'!$D$18+'AA Exact Masses'!$Q$2-'Mass Ion Calculations'!$C$25-'Mass Ion Calculations'!$C26-'Mass Ion Calculations'!$D$5,'Mass Ion Calculations'!$F$18+'AA Exact Masses'!$Q$2-'Mass Ion Calculations'!$E$25-'Mass Ion Calculations'!$E26-'Mass Ion Calculations'!$D$5),IF('Mass Ion Calculations'!$D$7="Yes", 'Mass Ion Calculations'!$D$15+'AA Exact Masses'!$Q$2-'Mass Ion Calculations'!$C$25-'Mass Ion Calculations'!$C26-'Mass Ion Calculations'!$D$5,'Mass Ion Calculations'!$F$15+'AA Exact Masses'!$Q$2-'Mass Ion Calculations'!$E$25-'Mass Ion Calculations'!$E26-'Mass Ion Calculations'!$D$5)))</f>
        <v/>
      </c>
      <c r="X25" s="3" t="str">
        <f>IF(OR($B25="",X$3=""),"",IF('Mass Ion Calculations'!$D$6="Yes",IF('Mass Ion Calculations'!$D$7="Yes",'Mass Ion Calculations'!$D$18+'AA Exact Masses'!$Q$2-'Mass Ion Calculations'!$C$26-'Mass Ion Calculations'!$C26-'Mass Ion Calculations'!$D$5,'Mass Ion Calculations'!$F$18+'AA Exact Masses'!$Q$2-'Mass Ion Calculations'!$E$26-'Mass Ion Calculations'!$E26-'Mass Ion Calculations'!$D$5),IF('Mass Ion Calculations'!$D$7="Yes", 'Mass Ion Calculations'!$D$15+'AA Exact Masses'!$Q$2-'Mass Ion Calculations'!$C$26-'Mass Ion Calculations'!$C26-'Mass Ion Calculations'!$D$5,'Mass Ion Calculations'!$F$15+'AA Exact Masses'!$Q$2-'Mass Ion Calculations'!$E$26-'Mass Ion Calculations'!$E26-'Mass Ion Calculations'!$D$5)))</f>
        <v/>
      </c>
      <c r="Y25" s="3" t="str">
        <f>IF(OR($B25="",Y$3=""),"",IF('Mass Ion Calculations'!$D$6="Yes",IF('Mass Ion Calculations'!$D$7="Yes",'Mass Ion Calculations'!$D$18+'AA Exact Masses'!$Q$2-'Mass Ion Calculations'!$C$27-'Mass Ion Calculations'!$C26-'Mass Ion Calculations'!$D$5,'Mass Ion Calculations'!$F$18+'AA Exact Masses'!$Q$2-'Mass Ion Calculations'!$E$27-'Mass Ion Calculations'!$E26-'Mass Ion Calculations'!$D$5),IF('Mass Ion Calculations'!$D$7="Yes", 'Mass Ion Calculations'!$D$15+'AA Exact Masses'!$Q$2-'Mass Ion Calculations'!$C$27-'Mass Ion Calculations'!$C26-'Mass Ion Calculations'!$D$5,'Mass Ion Calculations'!$F$15+'AA Exact Masses'!$Q$2-'Mass Ion Calculations'!$E$27-'Mass Ion Calculations'!$E26-'Mass Ion Calculations'!$D$5)))</f>
        <v/>
      </c>
      <c r="Z25" s="3" t="str">
        <f>IF(OR($B25="",Z$3=""),"",IF('Mass Ion Calculations'!$D$6="Yes",IF('Mass Ion Calculations'!$D$7="Yes",'Mass Ion Calculations'!$D$18+'AA Exact Masses'!$Q$2-'Mass Ion Calculations'!$C$28-'Mass Ion Calculations'!$C26-'Mass Ion Calculations'!$D$5,'Mass Ion Calculations'!$F$18+'AA Exact Masses'!$Q$2-'Mass Ion Calculations'!$E$2-'Mass Ion Calculations'!$E26-'Mass Ion Calculations'!$D$5),IF('Mass Ion Calculations'!$D$7="Yes", 'Mass Ion Calculations'!$D$15+'AA Exact Masses'!$Q$2-'Mass Ion Calculations'!$C$28-'Mass Ion Calculations'!$C26-'Mass Ion Calculations'!$D$5,'Mass Ion Calculations'!$F$15+'AA Exact Masses'!$Q$2-'Mass Ion Calculations'!$E$2-'Mass Ion Calculations'!$E26-'Mass Ion Calculations'!$D$5)))</f>
        <v/>
      </c>
    </row>
    <row r="26" spans="2:26" x14ac:dyDescent="0.25">
      <c r="B26" s="4" t="str">
        <f>IF('Mass Ion Calculations'!B27="","",'Mass Ion Calculations'!B27)</f>
        <v/>
      </c>
      <c r="C26" s="3" t="str">
        <f>IF(OR($B26="",C$3=""),"",IF('Mass Ion Calculations'!$D$6="Yes",IF('Mass Ion Calculations'!$D$7="Yes",'Mass Ion Calculations'!$D$18+'AA Exact Masses'!$Q$2-'Mass Ion Calculations'!$C$5-'Mass Ion Calculations'!$C27-'Mass Ion Calculations'!$D$5,'Mass Ion Calculations'!$F$18+'AA Exact Masses'!$Q$2-'Mass Ion Calculations'!$E$5-'Mass Ion Calculations'!E27-'Mass Ion Calculations'!$D$5),IF('Mass Ion Calculations'!$D$7="Yes", 'Mass Ion Calculations'!$D$15+'AA Exact Masses'!$Q$2-'Mass Ion Calculations'!$C$5-'Mass Ion Calculations'!$C27-'Mass Ion Calculations'!$D$5,'Mass Ion Calculations'!$F$15+'AA Exact Masses'!$Q$2-'Mass Ion Calculations'!$E$5-'Mass Ion Calculations'!E27-'Mass Ion Calculations'!$D$5)))</f>
        <v/>
      </c>
      <c r="D26" s="3" t="str">
        <f>IF(OR($B26="",D$3=""),"",IF('Mass Ion Calculations'!$D$6="Yes",IF('Mass Ion Calculations'!$D$7="Yes",'Mass Ion Calculations'!$D$18+'AA Exact Masses'!$Q$2-'Mass Ion Calculations'!$C$6-'Mass Ion Calculations'!$C27-'Mass Ion Calculations'!$D$5,'Mass Ion Calculations'!$F$18+'AA Exact Masses'!$Q$2-'Mass Ion Calculations'!$E$6-'Mass Ion Calculations'!E27-'Mass Ion Calculations'!$D$5),IF('Mass Ion Calculations'!$D$7="Yes", 'Mass Ion Calculations'!$D$15+'AA Exact Masses'!$Q$2-'Mass Ion Calculations'!$C$6-'Mass Ion Calculations'!$C27-'Mass Ion Calculations'!$D$5,'Mass Ion Calculations'!$F$15+'AA Exact Masses'!$Q$2-'Mass Ion Calculations'!$E$6-'Mass Ion Calculations'!E27-'Mass Ion Calculations'!$D$5)))</f>
        <v/>
      </c>
      <c r="E26" s="3" t="str">
        <f>IF(OR($B26="",E$3=""),"",IF('Mass Ion Calculations'!$D$6="Yes",IF('Mass Ion Calculations'!$D$7="Yes",'Mass Ion Calculations'!$D$18+'AA Exact Masses'!$Q$2-'Mass Ion Calculations'!$C$7-'Mass Ion Calculations'!$C27-'Mass Ion Calculations'!$D$5,'Mass Ion Calculations'!$F$18+'AA Exact Masses'!$Q$2-'Mass Ion Calculations'!$E$7-'Mass Ion Calculations'!$E27-'Mass Ion Calculations'!$D$5),IF('Mass Ion Calculations'!$D$7="Yes", 'Mass Ion Calculations'!$D$15+'AA Exact Masses'!$Q$2-'Mass Ion Calculations'!$C$7-'Mass Ion Calculations'!$C27-'Mass Ion Calculations'!$D$5,'Mass Ion Calculations'!$F$15+'AA Exact Masses'!$Q$2-'Mass Ion Calculations'!$E$7-'Mass Ion Calculations'!$E27-'Mass Ion Calculations'!$D$5)))</f>
        <v/>
      </c>
      <c r="F26" s="3" t="str">
        <f>IF(OR($B26="",F$3=""),"",IF('Mass Ion Calculations'!$D$6="Yes",IF('Mass Ion Calculations'!$D$7="Yes",'Mass Ion Calculations'!$D$18+'AA Exact Masses'!$Q$2-'Mass Ion Calculations'!$C$8-'Mass Ion Calculations'!$C27-'Mass Ion Calculations'!$D$5,'Mass Ion Calculations'!$F$18+'AA Exact Masses'!$Q$2-'Mass Ion Calculations'!$E$8-'Mass Ion Calculations'!$E27-'Mass Ion Calculations'!$D$5),IF('Mass Ion Calculations'!$D$7="Yes", 'Mass Ion Calculations'!$D$15+'AA Exact Masses'!$Q$2-'Mass Ion Calculations'!$C$8-'Mass Ion Calculations'!$C27-'Mass Ion Calculations'!$D$5,'Mass Ion Calculations'!$F$15+'AA Exact Masses'!$Q$2-'Mass Ion Calculations'!$E$8-'Mass Ion Calculations'!$E27-'Mass Ion Calculations'!$D$5)))</f>
        <v/>
      </c>
      <c r="G26" s="3" t="str">
        <f>IF(OR($B26="",G$3=""),"",IF('Mass Ion Calculations'!$D$6="Yes",IF('Mass Ion Calculations'!$D$7="Yes",'Mass Ion Calculations'!$D$18+'AA Exact Masses'!$Q$2-'Mass Ion Calculations'!$C$9-'Mass Ion Calculations'!$C27-'Mass Ion Calculations'!$D$5,'Mass Ion Calculations'!$F$18+'AA Exact Masses'!$Q$2-'Mass Ion Calculations'!$E$9-'Mass Ion Calculations'!$E27-'Mass Ion Calculations'!$D$5),IF('Mass Ion Calculations'!$D$7="Yes", 'Mass Ion Calculations'!$D$15+'AA Exact Masses'!$Q$2-'Mass Ion Calculations'!$C$9-'Mass Ion Calculations'!$C27-'Mass Ion Calculations'!$D$5,'Mass Ion Calculations'!$F$15+'AA Exact Masses'!$Q$2-'Mass Ion Calculations'!$E$9-'Mass Ion Calculations'!$E27-'Mass Ion Calculations'!$D$5)))</f>
        <v/>
      </c>
      <c r="H26" s="3" t="str">
        <f>IF(OR($B26="",H$3=""),"",IF('Mass Ion Calculations'!$D$6="Yes",IF('Mass Ion Calculations'!$D$7="Yes",'Mass Ion Calculations'!$D$18+'AA Exact Masses'!$Q$2-'Mass Ion Calculations'!$C$10-'Mass Ion Calculations'!$C27-'Mass Ion Calculations'!$D$5,'Mass Ion Calculations'!$F$18+'AA Exact Masses'!$Q$2-'Mass Ion Calculations'!$E$10-'Mass Ion Calculations'!$E27-'Mass Ion Calculations'!$D$5),IF('Mass Ion Calculations'!$D$7="Yes", 'Mass Ion Calculations'!$D$15+'AA Exact Masses'!$Q$2-'Mass Ion Calculations'!$C$10-'Mass Ion Calculations'!$C27-'Mass Ion Calculations'!$D$5,'Mass Ion Calculations'!$F$15+'AA Exact Masses'!$Q$2-'Mass Ion Calculations'!$E$10-'Mass Ion Calculations'!$E27-'Mass Ion Calculations'!$D$5)))</f>
        <v/>
      </c>
      <c r="I26" s="3" t="str">
        <f>IF(OR($B26="",I$3=""),"",IF('Mass Ion Calculations'!$D$6="Yes",IF('Mass Ion Calculations'!$D$7="Yes",'Mass Ion Calculations'!$D$18+'AA Exact Masses'!$Q$2-'Mass Ion Calculations'!$C$11-'Mass Ion Calculations'!$C27-'Mass Ion Calculations'!$D$5,'Mass Ion Calculations'!$F$18+'AA Exact Masses'!$Q$2-'Mass Ion Calculations'!$E$11-'Mass Ion Calculations'!$E27-'Mass Ion Calculations'!$D$5),IF('Mass Ion Calculations'!$D$7="Yes", 'Mass Ion Calculations'!$D$15+'AA Exact Masses'!$Q$2-'Mass Ion Calculations'!$C$11-'Mass Ion Calculations'!$C27-'Mass Ion Calculations'!$D$5,'Mass Ion Calculations'!$F$15+'AA Exact Masses'!$Q$2-'Mass Ion Calculations'!$E$11-'Mass Ion Calculations'!$E27-'Mass Ion Calculations'!$D$5)))</f>
        <v/>
      </c>
      <c r="J26" s="3" t="str">
        <f>IF(OR($B26="",J$3=""),"",IF('Mass Ion Calculations'!$D$6="Yes",IF('Mass Ion Calculations'!$D$7="Yes",'Mass Ion Calculations'!$D$18+'AA Exact Masses'!$Q$2-'Mass Ion Calculations'!$C$12-'Mass Ion Calculations'!$C27-'Mass Ion Calculations'!$D$5,'Mass Ion Calculations'!$F$18+'AA Exact Masses'!$Q$2-'Mass Ion Calculations'!$E$12-'Mass Ion Calculations'!$E27-'Mass Ion Calculations'!$D$5),IF('Mass Ion Calculations'!$D$7="Yes", 'Mass Ion Calculations'!$D$15+'AA Exact Masses'!$Q$2-'Mass Ion Calculations'!$C$12-'Mass Ion Calculations'!$C27-'Mass Ion Calculations'!$D$5,'Mass Ion Calculations'!$F$15+'AA Exact Masses'!$Q$2-'Mass Ion Calculations'!$E$12-'Mass Ion Calculations'!$E27-'Mass Ion Calculations'!$D$5)))</f>
        <v/>
      </c>
      <c r="K26" s="3" t="str">
        <f>IF(OR($B26="",K$3=""),"",IF('Mass Ion Calculations'!$D$6="Yes",IF('Mass Ion Calculations'!$D$7="Yes",'Mass Ion Calculations'!$D$18+'AA Exact Masses'!$Q$2-'Mass Ion Calculations'!$C$13-'Mass Ion Calculations'!$C27-'Mass Ion Calculations'!$D$5,'Mass Ion Calculations'!$F$18+'AA Exact Masses'!$Q$2-'Mass Ion Calculations'!$E$14-'Mass Ion Calculations'!$E27-'Mass Ion Calculations'!$D$5),IF('Mass Ion Calculations'!$D$7="Yes", 'Mass Ion Calculations'!$D$15+'AA Exact Masses'!$Q$2-'Mass Ion Calculations'!$C$13-'Mass Ion Calculations'!$C27-'Mass Ion Calculations'!$D$5,'Mass Ion Calculations'!$F$15+'AA Exact Masses'!$Q$2-'Mass Ion Calculations'!$E$14-'Mass Ion Calculations'!$E27-'Mass Ion Calculations'!$D$5)))</f>
        <v/>
      </c>
      <c r="L26" s="3" t="str">
        <f>IF(OR($B26="",L$3=""),"",IF('Mass Ion Calculations'!$D$6="Yes",IF('Mass Ion Calculations'!$D$7="Yes",'Mass Ion Calculations'!$D$18+'AA Exact Masses'!$Q$2-'Mass Ion Calculations'!$C$14-'Mass Ion Calculations'!$C27-'Mass Ion Calculations'!$D$5,'Mass Ion Calculations'!$F$18+'AA Exact Masses'!$Q$2-'Mass Ion Calculations'!$E$15-'Mass Ion Calculations'!$E27-'Mass Ion Calculations'!$D$5),IF('Mass Ion Calculations'!$D$7="Yes", 'Mass Ion Calculations'!$D$15+'AA Exact Masses'!$Q$2-'Mass Ion Calculations'!$C$14-'Mass Ion Calculations'!$C27-'Mass Ion Calculations'!$D$5,'Mass Ion Calculations'!$F$15+'AA Exact Masses'!$Q$2-'Mass Ion Calculations'!$E$15-'Mass Ion Calculations'!$E27-'Mass Ion Calculations'!$D$5)))</f>
        <v/>
      </c>
      <c r="M26" s="3" t="str">
        <f>IF(OR($B26="",M$3=""),"",IF('Mass Ion Calculations'!$D$6="Yes",IF('Mass Ion Calculations'!$D$7="Yes",'Mass Ion Calculations'!$D$18+'AA Exact Masses'!$Q$2-'Mass Ion Calculations'!$C$15-'Mass Ion Calculations'!$C27-'Mass Ion Calculations'!$D$5,'Mass Ion Calculations'!$F$18+'AA Exact Masses'!$Q$2-'Mass Ion Calculations'!$E$16-'Mass Ion Calculations'!$E27-'Mass Ion Calculations'!$D$5),IF('Mass Ion Calculations'!$D$7="Yes", 'Mass Ion Calculations'!$D$15+'AA Exact Masses'!$Q$2-'Mass Ion Calculations'!$C$15-'Mass Ion Calculations'!$C27-'Mass Ion Calculations'!$D$5,'Mass Ion Calculations'!$F$15+'AA Exact Masses'!$Q$2-'Mass Ion Calculations'!$E$16-'Mass Ion Calculations'!$E27-'Mass Ion Calculations'!$D$5)))</f>
        <v/>
      </c>
      <c r="N26" s="3" t="str">
        <f>IF(OR($B26="",N$3=""),"",IF('Mass Ion Calculations'!$D$6="Yes",IF('Mass Ion Calculations'!$D$7="Yes",'Mass Ion Calculations'!$D$18+'AA Exact Masses'!$Q$2-'Mass Ion Calculations'!$C$16-'Mass Ion Calculations'!$C27-'Mass Ion Calculations'!$D$5,'Mass Ion Calculations'!$F$18+'AA Exact Masses'!$Q$2-'Mass Ion Calculations'!$E$17-'Mass Ion Calculations'!$E27-'Mass Ion Calculations'!$D$5),IF('Mass Ion Calculations'!$D$7="Yes", 'Mass Ion Calculations'!$D$15+'AA Exact Masses'!$Q$2-'Mass Ion Calculations'!$C$16-'Mass Ion Calculations'!$C27-'Mass Ion Calculations'!$D$5,'Mass Ion Calculations'!$F$15+'AA Exact Masses'!$Q$2-'Mass Ion Calculations'!$E$17-'Mass Ion Calculations'!$E27-'Mass Ion Calculations'!$D$5)))</f>
        <v/>
      </c>
      <c r="O26" s="3" t="str">
        <f>IF(OR($B26="",O$3=""),"",IF('Mass Ion Calculations'!$D$6="Yes",IF('Mass Ion Calculations'!$D$7="Yes",'Mass Ion Calculations'!$D$18+'AA Exact Masses'!$Q$2-'Mass Ion Calculations'!$C$17-'Mass Ion Calculations'!$C27-'Mass Ion Calculations'!$D$5,'Mass Ion Calculations'!$F$18+'AA Exact Masses'!$Q$2-'Mass Ion Calculations'!$E$18-'Mass Ion Calculations'!$E27-'Mass Ion Calculations'!$D$5),IF('Mass Ion Calculations'!$D$7="Yes", 'Mass Ion Calculations'!$D$15+'AA Exact Masses'!$Q$2-'Mass Ion Calculations'!$C$17-'Mass Ion Calculations'!$C27-'Mass Ion Calculations'!$D$5,'Mass Ion Calculations'!$F$15+'AA Exact Masses'!$Q$2-'Mass Ion Calculations'!$E$18-'Mass Ion Calculations'!$E27-'Mass Ion Calculations'!$D$5)))</f>
        <v/>
      </c>
      <c r="P26" s="3" t="str">
        <f>IF(OR($B26="",P$3=""),"",IF('Mass Ion Calculations'!$D$6="Yes",IF('Mass Ion Calculations'!$D$7="Yes",'Mass Ion Calculations'!$D$18+'AA Exact Masses'!$Q$2-'Mass Ion Calculations'!$C$18-'Mass Ion Calculations'!$C27-'Mass Ion Calculations'!$D$5,'Mass Ion Calculations'!$F$18+'AA Exact Masses'!$Q$2-'Mass Ion Calculations'!#REF!-'Mass Ion Calculations'!$E27-'Mass Ion Calculations'!$D$5),IF('Mass Ion Calculations'!$D$7="Yes", 'Mass Ion Calculations'!$D$15+'AA Exact Masses'!$Q$2-'Mass Ion Calculations'!$C$18-'Mass Ion Calculations'!$C27-'Mass Ion Calculations'!$D$5,'Mass Ion Calculations'!$F$15+'AA Exact Masses'!$Q$2-'Mass Ion Calculations'!#REF!-'Mass Ion Calculations'!$E27-'Mass Ion Calculations'!$D$5)))</f>
        <v/>
      </c>
      <c r="Q26" s="3" t="str">
        <f>IF(OR($B26="",Q$3=""),"",IF('Mass Ion Calculations'!$D$6="Yes",IF('Mass Ion Calculations'!$D$7="Yes",'Mass Ion Calculations'!$D$18+'AA Exact Masses'!$Q$2-'Mass Ion Calculations'!$C$19-'Mass Ion Calculations'!$C27-'Mass Ion Calculations'!$D$5,'Mass Ion Calculations'!$F$18+'AA Exact Masses'!$Q$2-'Mass Ion Calculations'!$E$19-'Mass Ion Calculations'!$E27-'Mass Ion Calculations'!$D$5),IF('Mass Ion Calculations'!$D$7="Yes", 'Mass Ion Calculations'!$D$15+'AA Exact Masses'!$Q$2-'Mass Ion Calculations'!$C$19-'Mass Ion Calculations'!$C27-'Mass Ion Calculations'!$D$5,'Mass Ion Calculations'!$F$15+'AA Exact Masses'!$Q$2-'Mass Ion Calculations'!$E$19-'Mass Ion Calculations'!$E27-'Mass Ion Calculations'!$D$5)))</f>
        <v/>
      </c>
      <c r="R26" s="3" t="str">
        <f>IF(OR($B26="",R$3=""),"",IF('Mass Ion Calculations'!$D$6="Yes",IF('Mass Ion Calculations'!$D$7="Yes",'Mass Ion Calculations'!$D$18+'AA Exact Masses'!$Q$2-'Mass Ion Calculations'!$C$20-'Mass Ion Calculations'!$C27-'Mass Ion Calculations'!$D$5,'Mass Ion Calculations'!$F$18+'AA Exact Masses'!$Q$2-'Mass Ion Calculations'!$E$20-'Mass Ion Calculations'!$E27-'Mass Ion Calculations'!$D$5),IF('Mass Ion Calculations'!$D$7="Yes", 'Mass Ion Calculations'!$D$15+'AA Exact Masses'!$Q$2-'Mass Ion Calculations'!$C$20-'Mass Ion Calculations'!$C27-'Mass Ion Calculations'!$D$5,'Mass Ion Calculations'!$F$15+'AA Exact Masses'!$Q$2-'Mass Ion Calculations'!$E$20-'Mass Ion Calculations'!$E27-'Mass Ion Calculations'!$D$5)))</f>
        <v/>
      </c>
      <c r="S26" s="3" t="str">
        <f>IF(OR($B26="",S$3=""),"",IF('Mass Ion Calculations'!$D$6="Yes",IF('Mass Ion Calculations'!$D$7="Yes",'Mass Ion Calculations'!$D$18+'AA Exact Masses'!$Q$2-'Mass Ion Calculations'!$C$21-'Mass Ion Calculations'!$C27-'Mass Ion Calculations'!$D$5,'Mass Ion Calculations'!$F$18+'AA Exact Masses'!$Q$2-'Mass Ion Calculations'!$E$21-'Mass Ion Calculations'!$E27-'Mass Ion Calculations'!$D$5),IF('Mass Ion Calculations'!$D$7="Yes", 'Mass Ion Calculations'!$D$15+'AA Exact Masses'!$Q$2-'Mass Ion Calculations'!$C$21-'Mass Ion Calculations'!$C27-'Mass Ion Calculations'!$D$5,'Mass Ion Calculations'!$F$15+'AA Exact Masses'!$Q$2-'Mass Ion Calculations'!$E$21-'Mass Ion Calculations'!$E27-'Mass Ion Calculations'!$D$5)))</f>
        <v/>
      </c>
      <c r="T26" s="3" t="str">
        <f>IF(OR($B26="",T$3=""),"",IF('Mass Ion Calculations'!$D$6="Yes",IF('Mass Ion Calculations'!$D$7="Yes",'Mass Ion Calculations'!$D$18+'AA Exact Masses'!$Q$2-'Mass Ion Calculations'!$C$22-'Mass Ion Calculations'!$C27-'Mass Ion Calculations'!$D$5,'Mass Ion Calculations'!$F$18+'AA Exact Masses'!$Q$2-'Mass Ion Calculations'!$E$22-'Mass Ion Calculations'!$E27-'Mass Ion Calculations'!$D$5),IF('Mass Ion Calculations'!$D$7="Yes", 'Mass Ion Calculations'!$D$15+'AA Exact Masses'!$Q$2-'Mass Ion Calculations'!$C$22-'Mass Ion Calculations'!$C27-'Mass Ion Calculations'!$D$5,'Mass Ion Calculations'!$F$15+'AA Exact Masses'!$Q$2-'Mass Ion Calculations'!$E$22-'Mass Ion Calculations'!$E27-'Mass Ion Calculations'!$D$5)))</f>
        <v/>
      </c>
      <c r="U26" s="3" t="str">
        <f>IF(OR($B26="",U$3=""),"",IF('Mass Ion Calculations'!$D$6="Yes",IF('Mass Ion Calculations'!$D$7="Yes",'Mass Ion Calculations'!$D$18+'AA Exact Masses'!$Q$2-'Mass Ion Calculations'!$C$23-'Mass Ion Calculations'!$C27-'Mass Ion Calculations'!$D$5,'Mass Ion Calculations'!$F$18+'AA Exact Masses'!$Q$2-'Mass Ion Calculations'!$E$23-'Mass Ion Calculations'!$E27-'Mass Ion Calculations'!$D$5),IF('Mass Ion Calculations'!$D$7="Yes", 'Mass Ion Calculations'!$D$15+'AA Exact Masses'!$Q$2-'Mass Ion Calculations'!$C$23-'Mass Ion Calculations'!$C27-'Mass Ion Calculations'!$D$5,'Mass Ion Calculations'!$F$15+'AA Exact Masses'!$Q$2-'Mass Ion Calculations'!$E$23-'Mass Ion Calculations'!$E27-'Mass Ion Calculations'!$D$5)))</f>
        <v/>
      </c>
      <c r="V26" s="3" t="str">
        <f>IF(OR($B26="",V$3=""),"",IF('Mass Ion Calculations'!$D$6="Yes",IF('Mass Ion Calculations'!$D$7="Yes",'Mass Ion Calculations'!$D$18+'AA Exact Masses'!$Q$2-'Mass Ion Calculations'!$C$24-'Mass Ion Calculations'!$C27-'Mass Ion Calculations'!$D$5,'Mass Ion Calculations'!$F$18+'AA Exact Masses'!$Q$2-'Mass Ion Calculations'!$E$24-'Mass Ion Calculations'!$E27-'Mass Ion Calculations'!$D$5),IF('Mass Ion Calculations'!$D$7="Yes", 'Mass Ion Calculations'!$D$15+'AA Exact Masses'!$Q$2-'Mass Ion Calculations'!$C$24-'Mass Ion Calculations'!$C27-'Mass Ion Calculations'!$D$5,'Mass Ion Calculations'!$F$15+'AA Exact Masses'!$Q$2-'Mass Ion Calculations'!$E$24-'Mass Ion Calculations'!$E27-'Mass Ion Calculations'!$D$5)))</f>
        <v/>
      </c>
      <c r="W26" s="3" t="str">
        <f>IF(OR($B26="",W$3=""),"",IF('Mass Ion Calculations'!$D$6="Yes",IF('Mass Ion Calculations'!$D$7="Yes",'Mass Ion Calculations'!$D$18+'AA Exact Masses'!$Q$2-'Mass Ion Calculations'!$C$25-'Mass Ion Calculations'!$C27-'Mass Ion Calculations'!$D$5,'Mass Ion Calculations'!$F$18+'AA Exact Masses'!$Q$2-'Mass Ion Calculations'!$E$25-'Mass Ion Calculations'!$E27-'Mass Ion Calculations'!$D$5),IF('Mass Ion Calculations'!$D$7="Yes", 'Mass Ion Calculations'!$D$15+'AA Exact Masses'!$Q$2-'Mass Ion Calculations'!$C$25-'Mass Ion Calculations'!$C27-'Mass Ion Calculations'!$D$5,'Mass Ion Calculations'!$F$15+'AA Exact Masses'!$Q$2-'Mass Ion Calculations'!$E$25-'Mass Ion Calculations'!$E27-'Mass Ion Calculations'!$D$5)))</f>
        <v/>
      </c>
      <c r="X26" s="3" t="str">
        <f>IF(OR($B26="",X$3=""),"",IF('Mass Ion Calculations'!$D$6="Yes",IF('Mass Ion Calculations'!$D$7="Yes",'Mass Ion Calculations'!$D$18+'AA Exact Masses'!$Q$2-'Mass Ion Calculations'!$C$26-'Mass Ion Calculations'!$C27-'Mass Ion Calculations'!$D$5,'Mass Ion Calculations'!$F$18+'AA Exact Masses'!$Q$2-'Mass Ion Calculations'!$E$26-'Mass Ion Calculations'!$E27-'Mass Ion Calculations'!$D$5),IF('Mass Ion Calculations'!$D$7="Yes", 'Mass Ion Calculations'!$D$15+'AA Exact Masses'!$Q$2-'Mass Ion Calculations'!$C$26-'Mass Ion Calculations'!$C27-'Mass Ion Calculations'!$D$5,'Mass Ion Calculations'!$F$15+'AA Exact Masses'!$Q$2-'Mass Ion Calculations'!$E$26-'Mass Ion Calculations'!$E27-'Mass Ion Calculations'!$D$5)))</f>
        <v/>
      </c>
      <c r="Y26" s="3" t="str">
        <f>IF(OR($B26="",Y$3=""),"",IF('Mass Ion Calculations'!$D$6="Yes",IF('Mass Ion Calculations'!$D$7="Yes",'Mass Ion Calculations'!$D$18+'AA Exact Masses'!$Q$2-'Mass Ion Calculations'!$C$27-'Mass Ion Calculations'!$C27-'Mass Ion Calculations'!$D$5,'Mass Ion Calculations'!$F$18+'AA Exact Masses'!$Q$2-'Mass Ion Calculations'!$E$27-'Mass Ion Calculations'!$E27-'Mass Ion Calculations'!$D$5),IF('Mass Ion Calculations'!$D$7="Yes", 'Mass Ion Calculations'!$D$15+'AA Exact Masses'!$Q$2-'Mass Ion Calculations'!$C$27-'Mass Ion Calculations'!$C27-'Mass Ion Calculations'!$D$5,'Mass Ion Calculations'!$F$15+'AA Exact Masses'!$Q$2-'Mass Ion Calculations'!$E$27-'Mass Ion Calculations'!$E27-'Mass Ion Calculations'!$D$5)))</f>
        <v/>
      </c>
      <c r="Z26" s="3" t="str">
        <f>IF(OR($B26="",Z$3=""),"",IF('Mass Ion Calculations'!$D$6="Yes",IF('Mass Ion Calculations'!$D$7="Yes",'Mass Ion Calculations'!$D$18+'AA Exact Masses'!$Q$2-'Mass Ion Calculations'!$C$28-'Mass Ion Calculations'!$C27-'Mass Ion Calculations'!$D$5,'Mass Ion Calculations'!$F$18+'AA Exact Masses'!$Q$2-'Mass Ion Calculations'!$E$2-'Mass Ion Calculations'!$E27-'Mass Ion Calculations'!$D$5),IF('Mass Ion Calculations'!$D$7="Yes", 'Mass Ion Calculations'!$D$15+'AA Exact Masses'!$Q$2-'Mass Ion Calculations'!$C$28-'Mass Ion Calculations'!$C27-'Mass Ion Calculations'!$D$5,'Mass Ion Calculations'!$F$15+'AA Exact Masses'!$Q$2-'Mass Ion Calculations'!$E$2-'Mass Ion Calculations'!$E27-'Mass Ion Calculations'!$D$5)))</f>
        <v/>
      </c>
    </row>
    <row r="27" spans="2:26" x14ac:dyDescent="0.25">
      <c r="B27" s="4" t="str">
        <f>IF('Mass Ion Calculations'!B28="","",'Mass Ion Calculations'!B28)</f>
        <v/>
      </c>
      <c r="C27" s="3" t="str">
        <f>IF(OR($B27="",C$3=""),"",IF('Mass Ion Calculations'!$D$6="Yes",IF('Mass Ion Calculations'!$D$7="Yes",'Mass Ion Calculations'!$D$18+'AA Exact Masses'!$Q$2-'Mass Ion Calculations'!$C$5-'Mass Ion Calculations'!$C28-'Mass Ion Calculations'!$D$5,'Mass Ion Calculations'!$F$18+'AA Exact Masses'!$Q$2-'Mass Ion Calculations'!$E$5-'Mass Ion Calculations'!E28-'Mass Ion Calculations'!$D$5),IF('Mass Ion Calculations'!$D$7="Yes", 'Mass Ion Calculations'!$D$15+'AA Exact Masses'!$Q$2-'Mass Ion Calculations'!$C$5-'Mass Ion Calculations'!$C28-'Mass Ion Calculations'!$D$5,'Mass Ion Calculations'!$F$15+'AA Exact Masses'!$Q$2-'Mass Ion Calculations'!$E$5-'Mass Ion Calculations'!E28-'Mass Ion Calculations'!$D$5)))</f>
        <v/>
      </c>
      <c r="D27" s="3" t="str">
        <f>IF(OR($B27="",D$3=""),"",IF('Mass Ion Calculations'!$D$6="Yes",IF('Mass Ion Calculations'!$D$7="Yes",'Mass Ion Calculations'!$D$18+'AA Exact Masses'!$Q$2-'Mass Ion Calculations'!$C$6-'Mass Ion Calculations'!$C28-'Mass Ion Calculations'!$D$5,'Mass Ion Calculations'!$F$18+'AA Exact Masses'!$Q$2-'Mass Ion Calculations'!$E$6-'Mass Ion Calculations'!E28-'Mass Ion Calculations'!$D$5),IF('Mass Ion Calculations'!$D$7="Yes", 'Mass Ion Calculations'!$D$15+'AA Exact Masses'!$Q$2-'Mass Ion Calculations'!$C$6-'Mass Ion Calculations'!$C28-'Mass Ion Calculations'!$D$5,'Mass Ion Calculations'!$F$15+'AA Exact Masses'!$Q$2-'Mass Ion Calculations'!$E$6-'Mass Ion Calculations'!E28-'Mass Ion Calculations'!$D$5)))</f>
        <v/>
      </c>
      <c r="E27" s="3" t="str">
        <f>IF(OR($B27="",E$3=""),"",IF('Mass Ion Calculations'!$D$6="Yes",IF('Mass Ion Calculations'!$D$7="Yes",'Mass Ion Calculations'!$D$18+'AA Exact Masses'!$Q$2-'Mass Ion Calculations'!$C$7-'Mass Ion Calculations'!$C28-'Mass Ion Calculations'!$D$5,'Mass Ion Calculations'!$F$18+'AA Exact Masses'!$Q$2-'Mass Ion Calculations'!$E$7-'Mass Ion Calculations'!$E28-'Mass Ion Calculations'!$D$5),IF('Mass Ion Calculations'!$D$7="Yes", 'Mass Ion Calculations'!$D$15+'AA Exact Masses'!$Q$2-'Mass Ion Calculations'!$C$7-'Mass Ion Calculations'!$C28-'Mass Ion Calculations'!$D$5,'Mass Ion Calculations'!$F$15+'AA Exact Masses'!$Q$2-'Mass Ion Calculations'!$E$7-'Mass Ion Calculations'!$E28-'Mass Ion Calculations'!$D$5)))</f>
        <v/>
      </c>
      <c r="F27" s="3" t="str">
        <f>IF(OR($B27="",F$3=""),"",IF('Mass Ion Calculations'!$D$6="Yes",IF('Mass Ion Calculations'!$D$7="Yes",'Mass Ion Calculations'!$D$18+'AA Exact Masses'!$Q$2-'Mass Ion Calculations'!$C$8-'Mass Ion Calculations'!$C28-'Mass Ion Calculations'!$D$5,'Mass Ion Calculations'!$F$18+'AA Exact Masses'!$Q$2-'Mass Ion Calculations'!$E$8-'Mass Ion Calculations'!$E28-'Mass Ion Calculations'!$D$5),IF('Mass Ion Calculations'!$D$7="Yes", 'Mass Ion Calculations'!$D$15+'AA Exact Masses'!$Q$2-'Mass Ion Calculations'!$C$8-'Mass Ion Calculations'!$C28-'Mass Ion Calculations'!$D$5,'Mass Ion Calculations'!$F$15+'AA Exact Masses'!$Q$2-'Mass Ion Calculations'!$E$8-'Mass Ion Calculations'!$E28-'Mass Ion Calculations'!$D$5)))</f>
        <v/>
      </c>
      <c r="G27" s="3" t="str">
        <f>IF(OR($B27="",G$3=""),"",IF('Mass Ion Calculations'!$D$6="Yes",IF('Mass Ion Calculations'!$D$7="Yes",'Mass Ion Calculations'!$D$18+'AA Exact Masses'!$Q$2-'Mass Ion Calculations'!$C$9-'Mass Ion Calculations'!$C28-'Mass Ion Calculations'!$D$5,'Mass Ion Calculations'!$F$18+'AA Exact Masses'!$Q$2-'Mass Ion Calculations'!$E$9-'Mass Ion Calculations'!$E28-'Mass Ion Calculations'!$D$5),IF('Mass Ion Calculations'!$D$7="Yes", 'Mass Ion Calculations'!$D$15+'AA Exact Masses'!$Q$2-'Mass Ion Calculations'!$C$9-'Mass Ion Calculations'!$C28-'Mass Ion Calculations'!$D$5,'Mass Ion Calculations'!$F$15+'AA Exact Masses'!$Q$2-'Mass Ion Calculations'!$E$9-'Mass Ion Calculations'!$E28-'Mass Ion Calculations'!$D$5)))</f>
        <v/>
      </c>
      <c r="H27" s="3" t="str">
        <f>IF(OR($B27="",H$3=""),"",IF('Mass Ion Calculations'!$D$6="Yes",IF('Mass Ion Calculations'!$D$7="Yes",'Mass Ion Calculations'!$D$18+'AA Exact Masses'!$Q$2-'Mass Ion Calculations'!$C$10-'Mass Ion Calculations'!$C28-'Mass Ion Calculations'!$D$5,'Mass Ion Calculations'!$F$18+'AA Exact Masses'!$Q$2-'Mass Ion Calculations'!$E$10-'Mass Ion Calculations'!$E28-'Mass Ion Calculations'!$D$5),IF('Mass Ion Calculations'!$D$7="Yes", 'Mass Ion Calculations'!$D$15+'AA Exact Masses'!$Q$2-'Mass Ion Calculations'!$C$10-'Mass Ion Calculations'!$C28-'Mass Ion Calculations'!$D$5,'Mass Ion Calculations'!$F$15+'AA Exact Masses'!$Q$2-'Mass Ion Calculations'!$E$10-'Mass Ion Calculations'!$E28-'Mass Ion Calculations'!$D$5)))</f>
        <v/>
      </c>
      <c r="I27" s="3" t="str">
        <f>IF(OR($B27="",I$3=""),"",IF('Mass Ion Calculations'!$D$6="Yes",IF('Mass Ion Calculations'!$D$7="Yes",'Mass Ion Calculations'!$D$18+'AA Exact Masses'!$Q$2-'Mass Ion Calculations'!$C$11-'Mass Ion Calculations'!$C28-'Mass Ion Calculations'!$D$5,'Mass Ion Calculations'!$F$18+'AA Exact Masses'!$Q$2-'Mass Ion Calculations'!$E$11-'Mass Ion Calculations'!$E28-'Mass Ion Calculations'!$D$5),IF('Mass Ion Calculations'!$D$7="Yes", 'Mass Ion Calculations'!$D$15+'AA Exact Masses'!$Q$2-'Mass Ion Calculations'!$C$11-'Mass Ion Calculations'!$C28-'Mass Ion Calculations'!$D$5,'Mass Ion Calculations'!$F$15+'AA Exact Masses'!$Q$2-'Mass Ion Calculations'!$E$11-'Mass Ion Calculations'!$E28-'Mass Ion Calculations'!$D$5)))</f>
        <v/>
      </c>
      <c r="J27" s="3" t="str">
        <f>IF(OR($B27="",J$3=""),"",IF('Mass Ion Calculations'!$D$6="Yes",IF('Mass Ion Calculations'!$D$7="Yes",'Mass Ion Calculations'!$D$18+'AA Exact Masses'!$Q$2-'Mass Ion Calculations'!$C$12-'Mass Ion Calculations'!$C28-'Mass Ion Calculations'!$D$5,'Mass Ion Calculations'!$F$18+'AA Exact Masses'!$Q$2-'Mass Ion Calculations'!$E$12-'Mass Ion Calculations'!$E28-'Mass Ion Calculations'!$D$5),IF('Mass Ion Calculations'!$D$7="Yes", 'Mass Ion Calculations'!$D$15+'AA Exact Masses'!$Q$2-'Mass Ion Calculations'!$C$12-'Mass Ion Calculations'!$C28-'Mass Ion Calculations'!$D$5,'Mass Ion Calculations'!$F$15+'AA Exact Masses'!$Q$2-'Mass Ion Calculations'!$E$12-'Mass Ion Calculations'!$E28-'Mass Ion Calculations'!$D$5)))</f>
        <v/>
      </c>
      <c r="K27" s="3" t="str">
        <f>IF(OR($B27="",K$3=""),"",IF('Mass Ion Calculations'!$D$6="Yes",IF('Mass Ion Calculations'!$D$7="Yes",'Mass Ion Calculations'!$D$18+'AA Exact Masses'!$Q$2-'Mass Ion Calculations'!$C$13-'Mass Ion Calculations'!$C28-'Mass Ion Calculations'!$D$5,'Mass Ion Calculations'!$F$18+'AA Exact Masses'!$Q$2-'Mass Ion Calculations'!$E$14-'Mass Ion Calculations'!$E28-'Mass Ion Calculations'!$D$5),IF('Mass Ion Calculations'!$D$7="Yes", 'Mass Ion Calculations'!$D$15+'AA Exact Masses'!$Q$2-'Mass Ion Calculations'!$C$13-'Mass Ion Calculations'!$C28-'Mass Ion Calculations'!$D$5,'Mass Ion Calculations'!$F$15+'AA Exact Masses'!$Q$2-'Mass Ion Calculations'!$E$14-'Mass Ion Calculations'!$E28-'Mass Ion Calculations'!$D$5)))</f>
        <v/>
      </c>
      <c r="L27" s="3" t="str">
        <f>IF(OR($B27="",L$3=""),"",IF('Mass Ion Calculations'!$D$6="Yes",IF('Mass Ion Calculations'!$D$7="Yes",'Mass Ion Calculations'!$D$18+'AA Exact Masses'!$Q$2-'Mass Ion Calculations'!$C$14-'Mass Ion Calculations'!$C28-'Mass Ion Calculations'!$D$5,'Mass Ion Calculations'!$F$18+'AA Exact Masses'!$Q$2-'Mass Ion Calculations'!$E$15-'Mass Ion Calculations'!$E28-'Mass Ion Calculations'!$D$5),IF('Mass Ion Calculations'!$D$7="Yes", 'Mass Ion Calculations'!$D$15+'AA Exact Masses'!$Q$2-'Mass Ion Calculations'!$C$14-'Mass Ion Calculations'!$C28-'Mass Ion Calculations'!$D$5,'Mass Ion Calculations'!$F$15+'AA Exact Masses'!$Q$2-'Mass Ion Calculations'!$E$15-'Mass Ion Calculations'!$E28-'Mass Ion Calculations'!$D$5)))</f>
        <v/>
      </c>
      <c r="M27" s="3" t="str">
        <f>IF(OR($B27="",M$3=""),"",IF('Mass Ion Calculations'!$D$6="Yes",IF('Mass Ion Calculations'!$D$7="Yes",'Mass Ion Calculations'!$D$18+'AA Exact Masses'!$Q$2-'Mass Ion Calculations'!$C$15-'Mass Ion Calculations'!$C28-'Mass Ion Calculations'!$D$5,'Mass Ion Calculations'!$F$18+'AA Exact Masses'!$Q$2-'Mass Ion Calculations'!$E$16-'Mass Ion Calculations'!$E28-'Mass Ion Calculations'!$D$5),IF('Mass Ion Calculations'!$D$7="Yes", 'Mass Ion Calculations'!$D$15+'AA Exact Masses'!$Q$2-'Mass Ion Calculations'!$C$15-'Mass Ion Calculations'!$C28-'Mass Ion Calculations'!$D$5,'Mass Ion Calculations'!$F$15+'AA Exact Masses'!$Q$2-'Mass Ion Calculations'!$E$16-'Mass Ion Calculations'!$E28-'Mass Ion Calculations'!$D$5)))</f>
        <v/>
      </c>
      <c r="N27" s="3" t="str">
        <f>IF(OR($B27="",N$3=""),"",IF('Mass Ion Calculations'!$D$6="Yes",IF('Mass Ion Calculations'!$D$7="Yes",'Mass Ion Calculations'!$D$18+'AA Exact Masses'!$Q$2-'Mass Ion Calculations'!$C$16-'Mass Ion Calculations'!$C28-'Mass Ion Calculations'!$D$5,'Mass Ion Calculations'!$F$18+'AA Exact Masses'!$Q$2-'Mass Ion Calculations'!$E$17-'Mass Ion Calculations'!$E28-'Mass Ion Calculations'!$D$5),IF('Mass Ion Calculations'!$D$7="Yes", 'Mass Ion Calculations'!$D$15+'AA Exact Masses'!$Q$2-'Mass Ion Calculations'!$C$16-'Mass Ion Calculations'!$C28-'Mass Ion Calculations'!$D$5,'Mass Ion Calculations'!$F$15+'AA Exact Masses'!$Q$2-'Mass Ion Calculations'!$E$17-'Mass Ion Calculations'!$E28-'Mass Ion Calculations'!$D$5)))</f>
        <v/>
      </c>
      <c r="O27" s="3" t="str">
        <f>IF(OR($B27="",O$3=""),"",IF('Mass Ion Calculations'!$D$6="Yes",IF('Mass Ion Calculations'!$D$7="Yes",'Mass Ion Calculations'!$D$18+'AA Exact Masses'!$Q$2-'Mass Ion Calculations'!$C$17-'Mass Ion Calculations'!$C28-'Mass Ion Calculations'!$D$5,'Mass Ion Calculations'!$F$18+'AA Exact Masses'!$Q$2-'Mass Ion Calculations'!$E$18-'Mass Ion Calculations'!$E28-'Mass Ion Calculations'!$D$5),IF('Mass Ion Calculations'!$D$7="Yes", 'Mass Ion Calculations'!$D$15+'AA Exact Masses'!$Q$2-'Mass Ion Calculations'!$C$17-'Mass Ion Calculations'!$C28-'Mass Ion Calculations'!$D$5,'Mass Ion Calculations'!$F$15+'AA Exact Masses'!$Q$2-'Mass Ion Calculations'!$E$18-'Mass Ion Calculations'!$E28-'Mass Ion Calculations'!$D$5)))</f>
        <v/>
      </c>
      <c r="P27" s="3" t="str">
        <f>IF(OR($B27="",P$3=""),"",IF('Mass Ion Calculations'!$D$6="Yes",IF('Mass Ion Calculations'!$D$7="Yes",'Mass Ion Calculations'!$D$18+'AA Exact Masses'!$Q$2-'Mass Ion Calculations'!$C$18-'Mass Ion Calculations'!$C28-'Mass Ion Calculations'!$D$5,'Mass Ion Calculations'!$F$18+'AA Exact Masses'!$Q$2-'Mass Ion Calculations'!#REF!-'Mass Ion Calculations'!$E28-'Mass Ion Calculations'!$D$5),IF('Mass Ion Calculations'!$D$7="Yes", 'Mass Ion Calculations'!$D$15+'AA Exact Masses'!$Q$2-'Mass Ion Calculations'!$C$18-'Mass Ion Calculations'!$C28-'Mass Ion Calculations'!$D$5,'Mass Ion Calculations'!$F$15+'AA Exact Masses'!$Q$2-'Mass Ion Calculations'!#REF!-'Mass Ion Calculations'!$E28-'Mass Ion Calculations'!$D$5)))</f>
        <v/>
      </c>
      <c r="Q27" s="3" t="str">
        <f>IF(OR($B27="",Q$3=""),"",IF('Mass Ion Calculations'!$D$6="Yes",IF('Mass Ion Calculations'!$D$7="Yes",'Mass Ion Calculations'!$D$18+'AA Exact Masses'!$Q$2-'Mass Ion Calculations'!$C$19-'Mass Ion Calculations'!$C28-'Mass Ion Calculations'!$D$5,'Mass Ion Calculations'!$F$18+'AA Exact Masses'!$Q$2-'Mass Ion Calculations'!$E$19-'Mass Ion Calculations'!$E28-'Mass Ion Calculations'!$D$5),IF('Mass Ion Calculations'!$D$7="Yes", 'Mass Ion Calculations'!$D$15+'AA Exact Masses'!$Q$2-'Mass Ion Calculations'!$C$19-'Mass Ion Calculations'!$C28-'Mass Ion Calculations'!$D$5,'Mass Ion Calculations'!$F$15+'AA Exact Masses'!$Q$2-'Mass Ion Calculations'!$E$19-'Mass Ion Calculations'!$E28-'Mass Ion Calculations'!$D$5)))</f>
        <v/>
      </c>
      <c r="R27" s="3" t="str">
        <f>IF(OR($B27="",R$3=""),"",IF('Mass Ion Calculations'!$D$6="Yes",IF('Mass Ion Calculations'!$D$7="Yes",'Mass Ion Calculations'!$D$18+'AA Exact Masses'!$Q$2-'Mass Ion Calculations'!$C$20-'Mass Ion Calculations'!$C28-'Mass Ion Calculations'!$D$5,'Mass Ion Calculations'!$F$18+'AA Exact Masses'!$Q$2-'Mass Ion Calculations'!$E$20-'Mass Ion Calculations'!$E28-'Mass Ion Calculations'!$D$5),IF('Mass Ion Calculations'!$D$7="Yes", 'Mass Ion Calculations'!$D$15+'AA Exact Masses'!$Q$2-'Mass Ion Calculations'!$C$20-'Mass Ion Calculations'!$C28-'Mass Ion Calculations'!$D$5,'Mass Ion Calculations'!$F$15+'AA Exact Masses'!$Q$2-'Mass Ion Calculations'!$E$20-'Mass Ion Calculations'!$E28-'Mass Ion Calculations'!$D$5)))</f>
        <v/>
      </c>
      <c r="S27" s="3" t="str">
        <f>IF(OR($B27="",S$3=""),"",IF('Mass Ion Calculations'!$D$6="Yes",IF('Mass Ion Calculations'!$D$7="Yes",'Mass Ion Calculations'!$D$18+'AA Exact Masses'!$Q$2-'Mass Ion Calculations'!$C$21-'Mass Ion Calculations'!$C28-'Mass Ion Calculations'!$D$5,'Mass Ion Calculations'!$F$18+'AA Exact Masses'!$Q$2-'Mass Ion Calculations'!$E$21-'Mass Ion Calculations'!$E28-'Mass Ion Calculations'!$D$5),IF('Mass Ion Calculations'!$D$7="Yes", 'Mass Ion Calculations'!$D$15+'AA Exact Masses'!$Q$2-'Mass Ion Calculations'!$C$21-'Mass Ion Calculations'!$C28-'Mass Ion Calculations'!$D$5,'Mass Ion Calculations'!$F$15+'AA Exact Masses'!$Q$2-'Mass Ion Calculations'!$E$21-'Mass Ion Calculations'!$E28-'Mass Ion Calculations'!$D$5)))</f>
        <v/>
      </c>
      <c r="T27" s="3" t="str">
        <f>IF(OR($B27="",T$3=""),"",IF('Mass Ion Calculations'!$D$6="Yes",IF('Mass Ion Calculations'!$D$7="Yes",'Mass Ion Calculations'!$D$18+'AA Exact Masses'!$Q$2-'Mass Ion Calculations'!$C$22-'Mass Ion Calculations'!$C28-'Mass Ion Calculations'!$D$5,'Mass Ion Calculations'!$F$18+'AA Exact Masses'!$Q$2-'Mass Ion Calculations'!$E$22-'Mass Ion Calculations'!$E28-'Mass Ion Calculations'!$D$5),IF('Mass Ion Calculations'!$D$7="Yes", 'Mass Ion Calculations'!$D$15+'AA Exact Masses'!$Q$2-'Mass Ion Calculations'!$C$22-'Mass Ion Calculations'!$C28-'Mass Ion Calculations'!$D$5,'Mass Ion Calculations'!$F$15+'AA Exact Masses'!$Q$2-'Mass Ion Calculations'!$E$22-'Mass Ion Calculations'!$E28-'Mass Ion Calculations'!$D$5)))</f>
        <v/>
      </c>
      <c r="U27" s="3" t="str">
        <f>IF(OR($B27="",U$3=""),"",IF('Mass Ion Calculations'!$D$6="Yes",IF('Mass Ion Calculations'!$D$7="Yes",'Mass Ion Calculations'!$D$18+'AA Exact Masses'!$Q$2-'Mass Ion Calculations'!$C$23-'Mass Ion Calculations'!$C28-'Mass Ion Calculations'!$D$5,'Mass Ion Calculations'!$F$18+'AA Exact Masses'!$Q$2-'Mass Ion Calculations'!$E$23-'Mass Ion Calculations'!$E28-'Mass Ion Calculations'!$D$5),IF('Mass Ion Calculations'!$D$7="Yes", 'Mass Ion Calculations'!$D$15+'AA Exact Masses'!$Q$2-'Mass Ion Calculations'!$C$23-'Mass Ion Calculations'!$C28-'Mass Ion Calculations'!$D$5,'Mass Ion Calculations'!$F$15+'AA Exact Masses'!$Q$2-'Mass Ion Calculations'!$E$23-'Mass Ion Calculations'!$E28-'Mass Ion Calculations'!$D$5)))</f>
        <v/>
      </c>
      <c r="V27" s="3" t="str">
        <f>IF(OR($B27="",V$3=""),"",IF('Mass Ion Calculations'!$D$6="Yes",IF('Mass Ion Calculations'!$D$7="Yes",'Mass Ion Calculations'!$D$18+'AA Exact Masses'!$Q$2-'Mass Ion Calculations'!$C$24-'Mass Ion Calculations'!$C28-'Mass Ion Calculations'!$D$5,'Mass Ion Calculations'!$F$18+'AA Exact Masses'!$Q$2-'Mass Ion Calculations'!$E$24-'Mass Ion Calculations'!$E28-'Mass Ion Calculations'!$D$5),IF('Mass Ion Calculations'!$D$7="Yes", 'Mass Ion Calculations'!$D$15+'AA Exact Masses'!$Q$2-'Mass Ion Calculations'!$C$24-'Mass Ion Calculations'!$C28-'Mass Ion Calculations'!$D$5,'Mass Ion Calculations'!$F$15+'AA Exact Masses'!$Q$2-'Mass Ion Calculations'!$E$24-'Mass Ion Calculations'!$E28-'Mass Ion Calculations'!$D$5)))</f>
        <v/>
      </c>
      <c r="W27" s="3" t="str">
        <f>IF(OR($B27="",W$3=""),"",IF('Mass Ion Calculations'!$D$6="Yes",IF('Mass Ion Calculations'!$D$7="Yes",'Mass Ion Calculations'!$D$18+'AA Exact Masses'!$Q$2-'Mass Ion Calculations'!$C$25-'Mass Ion Calculations'!$C28-'Mass Ion Calculations'!$D$5,'Mass Ion Calculations'!$F$18+'AA Exact Masses'!$Q$2-'Mass Ion Calculations'!$E$25-'Mass Ion Calculations'!$E28-'Mass Ion Calculations'!$D$5),IF('Mass Ion Calculations'!$D$7="Yes", 'Mass Ion Calculations'!$D$15+'AA Exact Masses'!$Q$2-'Mass Ion Calculations'!$C$25-'Mass Ion Calculations'!$C28-'Mass Ion Calculations'!$D$5,'Mass Ion Calculations'!$F$15+'AA Exact Masses'!$Q$2-'Mass Ion Calculations'!$E$25-'Mass Ion Calculations'!$E28-'Mass Ion Calculations'!$D$5)))</f>
        <v/>
      </c>
      <c r="X27" s="3" t="str">
        <f>IF(OR($B27="",X$3=""),"",IF('Mass Ion Calculations'!$D$6="Yes",IF('Mass Ion Calculations'!$D$7="Yes",'Mass Ion Calculations'!$D$18+'AA Exact Masses'!$Q$2-'Mass Ion Calculations'!$C$26-'Mass Ion Calculations'!$C28-'Mass Ion Calculations'!$D$5,'Mass Ion Calculations'!$F$18+'AA Exact Masses'!$Q$2-'Mass Ion Calculations'!$E$26-'Mass Ion Calculations'!$E28-'Mass Ion Calculations'!$D$5),IF('Mass Ion Calculations'!$D$7="Yes", 'Mass Ion Calculations'!$D$15+'AA Exact Masses'!$Q$2-'Mass Ion Calculations'!$C$26-'Mass Ion Calculations'!$C28-'Mass Ion Calculations'!$D$5,'Mass Ion Calculations'!$F$15+'AA Exact Masses'!$Q$2-'Mass Ion Calculations'!$E$26-'Mass Ion Calculations'!$E28-'Mass Ion Calculations'!$D$5)))</f>
        <v/>
      </c>
      <c r="Y27" s="3" t="str">
        <f>IF(OR($B27="",Y$3=""),"",IF('Mass Ion Calculations'!$D$6="Yes",IF('Mass Ion Calculations'!$D$7="Yes",'Mass Ion Calculations'!$D$18+'AA Exact Masses'!$Q$2-'Mass Ion Calculations'!$C$27-'Mass Ion Calculations'!$C28-'Mass Ion Calculations'!$D$5,'Mass Ion Calculations'!$F$18+'AA Exact Masses'!$Q$2-'Mass Ion Calculations'!$E$27-'Mass Ion Calculations'!$E28-'Mass Ion Calculations'!$D$5),IF('Mass Ion Calculations'!$D$7="Yes", 'Mass Ion Calculations'!$D$15+'AA Exact Masses'!$Q$2-'Mass Ion Calculations'!$C$27-'Mass Ion Calculations'!$C28-'Mass Ion Calculations'!$D$5,'Mass Ion Calculations'!$F$15+'AA Exact Masses'!$Q$2-'Mass Ion Calculations'!$E$27-'Mass Ion Calculations'!$E28-'Mass Ion Calculations'!$D$5)))</f>
        <v/>
      </c>
      <c r="Z27" s="3" t="str">
        <f>IF(OR($B27="",Z$3=""),"",IF('Mass Ion Calculations'!$D$6="Yes",IF('Mass Ion Calculations'!$D$7="Yes",'Mass Ion Calculations'!$D$18+'AA Exact Masses'!$Q$2-'Mass Ion Calculations'!$C$28-'Mass Ion Calculations'!$C28-'Mass Ion Calculations'!$D$5,'Mass Ion Calculations'!$F$18+'AA Exact Masses'!$Q$2-'Mass Ion Calculations'!$E$2-'Mass Ion Calculations'!$E28-'Mass Ion Calculations'!$D$5),IF('Mass Ion Calculations'!$D$7="Yes", 'Mass Ion Calculations'!$D$15+'AA Exact Masses'!$Q$2-'Mass Ion Calculations'!$C$28-'Mass Ion Calculations'!$C28-'Mass Ion Calculations'!$D$5,'Mass Ion Calculations'!$F$15+'AA Exact Masses'!$Q$2-'Mass Ion Calculations'!$E$2-'Mass Ion Calculations'!$E28-'Mass Ion Calculations'!$D$5)))</f>
        <v/>
      </c>
    </row>
    <row r="28" spans="2:26" x14ac:dyDescent="0.25">
      <c r="B28" s="4" t="str">
        <f>IF('Mass Ion Calculations'!B29="","",'Mass Ion Calculations'!B29)</f>
        <v/>
      </c>
      <c r="C28" s="3" t="str">
        <f>IF(OR($B28="",C$3=""),"",IF('Mass Ion Calculations'!$D$6="Yes",IF('Mass Ion Calculations'!$D$7="Yes",'Mass Ion Calculations'!$D$18+'AA Exact Masses'!$Q$2-'Mass Ion Calculations'!$C$5-'Mass Ion Calculations'!$C29-'Mass Ion Calculations'!$D$5,'Mass Ion Calculations'!$F$18+'AA Exact Masses'!$Q$2-'Mass Ion Calculations'!$E$5-'Mass Ion Calculations'!E29-'Mass Ion Calculations'!$D$5),IF('Mass Ion Calculations'!$D$7="Yes", 'Mass Ion Calculations'!$D$15+'AA Exact Masses'!$Q$2-'Mass Ion Calculations'!$C$5-'Mass Ion Calculations'!$C29-'Mass Ion Calculations'!$D$5,'Mass Ion Calculations'!$F$15+'AA Exact Masses'!$Q$2-'Mass Ion Calculations'!$E$5-'Mass Ion Calculations'!E29-'Mass Ion Calculations'!$D$5)))</f>
        <v/>
      </c>
      <c r="D28" s="3" t="str">
        <f>IF(OR($B28="",D$3=""),"",IF('Mass Ion Calculations'!$D$6="Yes",IF('Mass Ion Calculations'!$D$7="Yes",'Mass Ion Calculations'!$D$18+'AA Exact Masses'!$Q$2-'Mass Ion Calculations'!$C$6-'Mass Ion Calculations'!$C29-'Mass Ion Calculations'!$D$5,'Mass Ion Calculations'!$F$18+'AA Exact Masses'!$Q$2-'Mass Ion Calculations'!$E$6-'Mass Ion Calculations'!E29-'Mass Ion Calculations'!$D$5),IF('Mass Ion Calculations'!$D$7="Yes", 'Mass Ion Calculations'!$D$15+'AA Exact Masses'!$Q$2-'Mass Ion Calculations'!$C$6-'Mass Ion Calculations'!$C29-'Mass Ion Calculations'!$D$5,'Mass Ion Calculations'!$F$15+'AA Exact Masses'!$Q$2-'Mass Ion Calculations'!$E$6-'Mass Ion Calculations'!E29-'Mass Ion Calculations'!$D$5)))</f>
        <v/>
      </c>
      <c r="E28" s="3" t="str">
        <f>IF(OR($B28="",E$3=""),"",IF('Mass Ion Calculations'!$D$6="Yes",IF('Mass Ion Calculations'!$D$7="Yes",'Mass Ion Calculations'!$D$18+'AA Exact Masses'!$Q$2-'Mass Ion Calculations'!$C$7-'Mass Ion Calculations'!$C29-'Mass Ion Calculations'!$D$5,'Mass Ion Calculations'!$F$18+'AA Exact Masses'!$Q$2-'Mass Ion Calculations'!$E$7-'Mass Ion Calculations'!$E29-'Mass Ion Calculations'!$D$5),IF('Mass Ion Calculations'!$D$7="Yes", 'Mass Ion Calculations'!$D$15+'AA Exact Masses'!$Q$2-'Mass Ion Calculations'!$C$7-'Mass Ion Calculations'!$C29-'Mass Ion Calculations'!$D$5,'Mass Ion Calculations'!$F$15+'AA Exact Masses'!$Q$2-'Mass Ion Calculations'!$E$7-'Mass Ion Calculations'!$E29-'Mass Ion Calculations'!$D$5)))</f>
        <v/>
      </c>
      <c r="F28" s="3" t="str">
        <f>IF(OR($B28="",F$3=""),"",IF('Mass Ion Calculations'!$D$6="Yes",IF('Mass Ion Calculations'!$D$7="Yes",'Mass Ion Calculations'!$D$18+'AA Exact Masses'!$Q$2-'Mass Ion Calculations'!$C$8-'Mass Ion Calculations'!$C29-'Mass Ion Calculations'!$D$5,'Mass Ion Calculations'!$F$18+'AA Exact Masses'!$Q$2-'Mass Ion Calculations'!$E$8-'Mass Ion Calculations'!$E29-'Mass Ion Calculations'!$D$5),IF('Mass Ion Calculations'!$D$7="Yes", 'Mass Ion Calculations'!$D$15+'AA Exact Masses'!$Q$2-'Mass Ion Calculations'!$C$8-'Mass Ion Calculations'!$C29-'Mass Ion Calculations'!$D$5,'Mass Ion Calculations'!$F$15+'AA Exact Masses'!$Q$2-'Mass Ion Calculations'!$E$8-'Mass Ion Calculations'!$E29-'Mass Ion Calculations'!$D$5)))</f>
        <v/>
      </c>
      <c r="G28" s="3" t="str">
        <f>IF(OR($B28="",G$3=""),"",IF('Mass Ion Calculations'!$D$6="Yes",IF('Mass Ion Calculations'!$D$7="Yes",'Mass Ion Calculations'!$D$18+'AA Exact Masses'!$Q$2-'Mass Ion Calculations'!$C$9-'Mass Ion Calculations'!$C29-'Mass Ion Calculations'!$D$5,'Mass Ion Calculations'!$F$18+'AA Exact Masses'!$Q$2-'Mass Ion Calculations'!$E$9-'Mass Ion Calculations'!$E29-'Mass Ion Calculations'!$D$5),IF('Mass Ion Calculations'!$D$7="Yes", 'Mass Ion Calculations'!$D$15+'AA Exact Masses'!$Q$2-'Mass Ion Calculations'!$C$9-'Mass Ion Calculations'!$C29-'Mass Ion Calculations'!$D$5,'Mass Ion Calculations'!$F$15+'AA Exact Masses'!$Q$2-'Mass Ion Calculations'!$E$9-'Mass Ion Calculations'!$E29-'Mass Ion Calculations'!$D$5)))</f>
        <v/>
      </c>
      <c r="H28" s="3" t="str">
        <f>IF(OR($B28="",H$3=""),"",IF('Mass Ion Calculations'!$D$6="Yes",IF('Mass Ion Calculations'!$D$7="Yes",'Mass Ion Calculations'!$D$18+'AA Exact Masses'!$Q$2-'Mass Ion Calculations'!$C$10-'Mass Ion Calculations'!$C29-'Mass Ion Calculations'!$D$5,'Mass Ion Calculations'!$F$18+'AA Exact Masses'!$Q$2-'Mass Ion Calculations'!$E$10-'Mass Ion Calculations'!$E29-'Mass Ion Calculations'!$D$5),IF('Mass Ion Calculations'!$D$7="Yes", 'Mass Ion Calculations'!$D$15+'AA Exact Masses'!$Q$2-'Mass Ion Calculations'!$C$10-'Mass Ion Calculations'!$C29-'Mass Ion Calculations'!$D$5,'Mass Ion Calculations'!$F$15+'AA Exact Masses'!$Q$2-'Mass Ion Calculations'!$E$10-'Mass Ion Calculations'!$E29-'Mass Ion Calculations'!$D$5)))</f>
        <v/>
      </c>
      <c r="I28" s="3" t="str">
        <f>IF(OR($B28="",I$3=""),"",IF('Mass Ion Calculations'!$D$6="Yes",IF('Mass Ion Calculations'!$D$7="Yes",'Mass Ion Calculations'!$D$18+'AA Exact Masses'!$Q$2-'Mass Ion Calculations'!$C$11-'Mass Ion Calculations'!$C29-'Mass Ion Calculations'!$D$5,'Mass Ion Calculations'!$F$18+'AA Exact Masses'!$Q$2-'Mass Ion Calculations'!$E$11-'Mass Ion Calculations'!$E29-'Mass Ion Calculations'!$D$5),IF('Mass Ion Calculations'!$D$7="Yes", 'Mass Ion Calculations'!$D$15+'AA Exact Masses'!$Q$2-'Mass Ion Calculations'!$C$11-'Mass Ion Calculations'!$C29-'Mass Ion Calculations'!$D$5,'Mass Ion Calculations'!$F$15+'AA Exact Masses'!$Q$2-'Mass Ion Calculations'!$E$11-'Mass Ion Calculations'!$E29-'Mass Ion Calculations'!$D$5)))</f>
        <v/>
      </c>
      <c r="J28" s="3" t="str">
        <f>IF(OR($B28="",J$3=""),"",IF('Mass Ion Calculations'!$D$6="Yes",IF('Mass Ion Calculations'!$D$7="Yes",'Mass Ion Calculations'!$D$18+'AA Exact Masses'!$Q$2-'Mass Ion Calculations'!$C$12-'Mass Ion Calculations'!$C29-'Mass Ion Calculations'!$D$5,'Mass Ion Calculations'!$F$18+'AA Exact Masses'!$Q$2-'Mass Ion Calculations'!$E$12-'Mass Ion Calculations'!$E29-'Mass Ion Calculations'!$D$5),IF('Mass Ion Calculations'!$D$7="Yes", 'Mass Ion Calculations'!$D$15+'AA Exact Masses'!$Q$2-'Mass Ion Calculations'!$C$12-'Mass Ion Calculations'!$C29-'Mass Ion Calculations'!$D$5,'Mass Ion Calculations'!$F$15+'AA Exact Masses'!$Q$2-'Mass Ion Calculations'!$E$12-'Mass Ion Calculations'!$E29-'Mass Ion Calculations'!$D$5)))</f>
        <v/>
      </c>
      <c r="K28" s="3" t="str">
        <f>IF(OR($B28="",K$3=""),"",IF('Mass Ion Calculations'!$D$6="Yes",IF('Mass Ion Calculations'!$D$7="Yes",'Mass Ion Calculations'!$D$18+'AA Exact Masses'!$Q$2-'Mass Ion Calculations'!$C$13-'Mass Ion Calculations'!$C29-'Mass Ion Calculations'!$D$5,'Mass Ion Calculations'!$F$18+'AA Exact Masses'!$Q$2-'Mass Ion Calculations'!$E$14-'Mass Ion Calculations'!$E29-'Mass Ion Calculations'!$D$5),IF('Mass Ion Calculations'!$D$7="Yes", 'Mass Ion Calculations'!$D$15+'AA Exact Masses'!$Q$2-'Mass Ion Calculations'!$C$13-'Mass Ion Calculations'!$C29-'Mass Ion Calculations'!$D$5,'Mass Ion Calculations'!$F$15+'AA Exact Masses'!$Q$2-'Mass Ion Calculations'!$E$14-'Mass Ion Calculations'!$E29-'Mass Ion Calculations'!$D$5)))</f>
        <v/>
      </c>
      <c r="L28" s="3" t="str">
        <f>IF(OR($B28="",L$3=""),"",IF('Mass Ion Calculations'!$D$6="Yes",IF('Mass Ion Calculations'!$D$7="Yes",'Mass Ion Calculations'!$D$18+'AA Exact Masses'!$Q$2-'Mass Ion Calculations'!$C$14-'Mass Ion Calculations'!$C29-'Mass Ion Calculations'!$D$5,'Mass Ion Calculations'!$F$18+'AA Exact Masses'!$Q$2-'Mass Ion Calculations'!$E$15-'Mass Ion Calculations'!$E29-'Mass Ion Calculations'!$D$5),IF('Mass Ion Calculations'!$D$7="Yes", 'Mass Ion Calculations'!$D$15+'AA Exact Masses'!$Q$2-'Mass Ion Calculations'!$C$14-'Mass Ion Calculations'!$C29-'Mass Ion Calculations'!$D$5,'Mass Ion Calculations'!$F$15+'AA Exact Masses'!$Q$2-'Mass Ion Calculations'!$E$15-'Mass Ion Calculations'!$E29-'Mass Ion Calculations'!$D$5)))</f>
        <v/>
      </c>
      <c r="M28" s="3" t="str">
        <f>IF(OR($B28="",M$3=""),"",IF('Mass Ion Calculations'!$D$6="Yes",IF('Mass Ion Calculations'!$D$7="Yes",'Mass Ion Calculations'!$D$18+'AA Exact Masses'!$Q$2-'Mass Ion Calculations'!$C$15-'Mass Ion Calculations'!$C29-'Mass Ion Calculations'!$D$5,'Mass Ion Calculations'!$F$18+'AA Exact Masses'!$Q$2-'Mass Ion Calculations'!$E$16-'Mass Ion Calculations'!$E29-'Mass Ion Calculations'!$D$5),IF('Mass Ion Calculations'!$D$7="Yes", 'Mass Ion Calculations'!$D$15+'AA Exact Masses'!$Q$2-'Mass Ion Calculations'!$C$15-'Mass Ion Calculations'!$C29-'Mass Ion Calculations'!$D$5,'Mass Ion Calculations'!$F$15+'AA Exact Masses'!$Q$2-'Mass Ion Calculations'!$E$16-'Mass Ion Calculations'!$E29-'Mass Ion Calculations'!$D$5)))</f>
        <v/>
      </c>
      <c r="N28" s="3" t="str">
        <f>IF(OR($B28="",N$3=""),"",IF('Mass Ion Calculations'!$D$6="Yes",IF('Mass Ion Calculations'!$D$7="Yes",'Mass Ion Calculations'!$D$18+'AA Exact Masses'!$Q$2-'Mass Ion Calculations'!$C$16-'Mass Ion Calculations'!$C29-'Mass Ion Calculations'!$D$5,'Mass Ion Calculations'!$F$18+'AA Exact Masses'!$Q$2-'Mass Ion Calculations'!$E$17-'Mass Ion Calculations'!$E29-'Mass Ion Calculations'!$D$5),IF('Mass Ion Calculations'!$D$7="Yes", 'Mass Ion Calculations'!$D$15+'AA Exact Masses'!$Q$2-'Mass Ion Calculations'!$C$16-'Mass Ion Calculations'!$C29-'Mass Ion Calculations'!$D$5,'Mass Ion Calculations'!$F$15+'AA Exact Masses'!$Q$2-'Mass Ion Calculations'!$E$17-'Mass Ion Calculations'!$E29-'Mass Ion Calculations'!$D$5)))</f>
        <v/>
      </c>
      <c r="O28" s="3" t="str">
        <f>IF(OR($B28="",O$3=""),"",IF('Mass Ion Calculations'!$D$6="Yes",IF('Mass Ion Calculations'!$D$7="Yes",'Mass Ion Calculations'!$D$18+'AA Exact Masses'!$Q$2-'Mass Ion Calculations'!$C$17-'Mass Ion Calculations'!$C29-'Mass Ion Calculations'!$D$5,'Mass Ion Calculations'!$F$18+'AA Exact Masses'!$Q$2-'Mass Ion Calculations'!$E$18-'Mass Ion Calculations'!$E29-'Mass Ion Calculations'!$D$5),IF('Mass Ion Calculations'!$D$7="Yes", 'Mass Ion Calculations'!$D$15+'AA Exact Masses'!$Q$2-'Mass Ion Calculations'!$C$17-'Mass Ion Calculations'!$C29-'Mass Ion Calculations'!$D$5,'Mass Ion Calculations'!$F$15+'AA Exact Masses'!$Q$2-'Mass Ion Calculations'!$E$18-'Mass Ion Calculations'!$E29-'Mass Ion Calculations'!$D$5)))</f>
        <v/>
      </c>
      <c r="P28" s="3" t="str">
        <f>IF(OR($B28="",P$3=""),"",IF('Mass Ion Calculations'!$D$6="Yes",IF('Mass Ion Calculations'!$D$7="Yes",'Mass Ion Calculations'!$D$18+'AA Exact Masses'!$Q$2-'Mass Ion Calculations'!$C$18-'Mass Ion Calculations'!$C29-'Mass Ion Calculations'!$D$5,'Mass Ion Calculations'!$F$18+'AA Exact Masses'!$Q$2-'Mass Ion Calculations'!#REF!-'Mass Ion Calculations'!$E29-'Mass Ion Calculations'!$D$5),IF('Mass Ion Calculations'!$D$7="Yes", 'Mass Ion Calculations'!$D$15+'AA Exact Masses'!$Q$2-'Mass Ion Calculations'!$C$18-'Mass Ion Calculations'!$C29-'Mass Ion Calculations'!$D$5,'Mass Ion Calculations'!$F$15+'AA Exact Masses'!$Q$2-'Mass Ion Calculations'!#REF!-'Mass Ion Calculations'!$E29-'Mass Ion Calculations'!$D$5)))</f>
        <v/>
      </c>
      <c r="Q28" s="3" t="str">
        <f>IF(OR($B28="",Q$3=""),"",IF('Mass Ion Calculations'!$D$6="Yes",IF('Mass Ion Calculations'!$D$7="Yes",'Mass Ion Calculations'!$D$18+'AA Exact Masses'!$Q$2-'Mass Ion Calculations'!$C$19-'Mass Ion Calculations'!$C29-'Mass Ion Calculations'!$D$5,'Mass Ion Calculations'!$F$18+'AA Exact Masses'!$Q$2-'Mass Ion Calculations'!$E$19-'Mass Ion Calculations'!$E29-'Mass Ion Calculations'!$D$5),IF('Mass Ion Calculations'!$D$7="Yes", 'Mass Ion Calculations'!$D$15+'AA Exact Masses'!$Q$2-'Mass Ion Calculations'!$C$19-'Mass Ion Calculations'!$C29-'Mass Ion Calculations'!$D$5,'Mass Ion Calculations'!$F$15+'AA Exact Masses'!$Q$2-'Mass Ion Calculations'!$E$19-'Mass Ion Calculations'!$E29-'Mass Ion Calculations'!$D$5)))</f>
        <v/>
      </c>
      <c r="R28" s="3" t="str">
        <f>IF(OR($B28="",R$3=""),"",IF('Mass Ion Calculations'!$D$6="Yes",IF('Mass Ion Calculations'!$D$7="Yes",'Mass Ion Calculations'!$D$18+'AA Exact Masses'!$Q$2-'Mass Ion Calculations'!$C$20-'Mass Ion Calculations'!$C29-'Mass Ion Calculations'!$D$5,'Mass Ion Calculations'!$F$18+'AA Exact Masses'!$Q$2-'Mass Ion Calculations'!$E$20-'Mass Ion Calculations'!$E29-'Mass Ion Calculations'!$D$5),IF('Mass Ion Calculations'!$D$7="Yes", 'Mass Ion Calculations'!$D$15+'AA Exact Masses'!$Q$2-'Mass Ion Calculations'!$C$20-'Mass Ion Calculations'!$C29-'Mass Ion Calculations'!$D$5,'Mass Ion Calculations'!$F$15+'AA Exact Masses'!$Q$2-'Mass Ion Calculations'!$E$20-'Mass Ion Calculations'!$E29-'Mass Ion Calculations'!$D$5)))</f>
        <v/>
      </c>
      <c r="S28" s="3" t="str">
        <f>IF(OR($B28="",S$3=""),"",IF('Mass Ion Calculations'!$D$6="Yes",IF('Mass Ion Calculations'!$D$7="Yes",'Mass Ion Calculations'!$D$18+'AA Exact Masses'!$Q$2-'Mass Ion Calculations'!$C$21-'Mass Ion Calculations'!$C29-'Mass Ion Calculations'!$D$5,'Mass Ion Calculations'!$F$18+'AA Exact Masses'!$Q$2-'Mass Ion Calculations'!$E$21-'Mass Ion Calculations'!$E29-'Mass Ion Calculations'!$D$5),IF('Mass Ion Calculations'!$D$7="Yes", 'Mass Ion Calculations'!$D$15+'AA Exact Masses'!$Q$2-'Mass Ion Calculations'!$C$21-'Mass Ion Calculations'!$C29-'Mass Ion Calculations'!$D$5,'Mass Ion Calculations'!$F$15+'AA Exact Masses'!$Q$2-'Mass Ion Calculations'!$E$21-'Mass Ion Calculations'!$E29-'Mass Ion Calculations'!$D$5)))</f>
        <v/>
      </c>
      <c r="T28" s="3" t="str">
        <f>IF(OR($B28="",T$3=""),"",IF('Mass Ion Calculations'!$D$6="Yes",IF('Mass Ion Calculations'!$D$7="Yes",'Mass Ion Calculations'!$D$18+'AA Exact Masses'!$Q$2-'Mass Ion Calculations'!$C$22-'Mass Ion Calculations'!$C29-'Mass Ion Calculations'!$D$5,'Mass Ion Calculations'!$F$18+'AA Exact Masses'!$Q$2-'Mass Ion Calculations'!$E$22-'Mass Ion Calculations'!$E29-'Mass Ion Calculations'!$D$5),IF('Mass Ion Calculations'!$D$7="Yes", 'Mass Ion Calculations'!$D$15+'AA Exact Masses'!$Q$2-'Mass Ion Calculations'!$C$22-'Mass Ion Calculations'!$C29-'Mass Ion Calculations'!$D$5,'Mass Ion Calculations'!$F$15+'AA Exact Masses'!$Q$2-'Mass Ion Calculations'!$E$22-'Mass Ion Calculations'!$E29-'Mass Ion Calculations'!$D$5)))</f>
        <v/>
      </c>
      <c r="U28" s="3" t="str">
        <f>IF(OR($B28="",U$3=""),"",IF('Mass Ion Calculations'!$D$6="Yes",IF('Mass Ion Calculations'!$D$7="Yes",'Mass Ion Calculations'!$D$18+'AA Exact Masses'!$Q$2-'Mass Ion Calculations'!$C$23-'Mass Ion Calculations'!$C29-'Mass Ion Calculations'!$D$5,'Mass Ion Calculations'!$F$18+'AA Exact Masses'!$Q$2-'Mass Ion Calculations'!$E$23-'Mass Ion Calculations'!$E29-'Mass Ion Calculations'!$D$5),IF('Mass Ion Calculations'!$D$7="Yes", 'Mass Ion Calculations'!$D$15+'AA Exact Masses'!$Q$2-'Mass Ion Calculations'!$C$23-'Mass Ion Calculations'!$C29-'Mass Ion Calculations'!$D$5,'Mass Ion Calculations'!$F$15+'AA Exact Masses'!$Q$2-'Mass Ion Calculations'!$E$23-'Mass Ion Calculations'!$E29-'Mass Ion Calculations'!$D$5)))</f>
        <v/>
      </c>
      <c r="V28" s="3" t="str">
        <f>IF(OR($B28="",V$3=""),"",IF('Mass Ion Calculations'!$D$6="Yes",IF('Mass Ion Calculations'!$D$7="Yes",'Mass Ion Calculations'!$D$18+'AA Exact Masses'!$Q$2-'Mass Ion Calculations'!$C$24-'Mass Ion Calculations'!$C29-'Mass Ion Calculations'!$D$5,'Mass Ion Calculations'!$F$18+'AA Exact Masses'!$Q$2-'Mass Ion Calculations'!$E$24-'Mass Ion Calculations'!$E29-'Mass Ion Calculations'!$D$5),IF('Mass Ion Calculations'!$D$7="Yes", 'Mass Ion Calculations'!$D$15+'AA Exact Masses'!$Q$2-'Mass Ion Calculations'!$C$24-'Mass Ion Calculations'!$C29-'Mass Ion Calculations'!$D$5,'Mass Ion Calculations'!$F$15+'AA Exact Masses'!$Q$2-'Mass Ion Calculations'!$E$24-'Mass Ion Calculations'!$E29-'Mass Ion Calculations'!$D$5)))</f>
        <v/>
      </c>
      <c r="W28" s="3" t="str">
        <f>IF(OR($B28="",W$3=""),"",IF('Mass Ion Calculations'!$D$6="Yes",IF('Mass Ion Calculations'!$D$7="Yes",'Mass Ion Calculations'!$D$18+'AA Exact Masses'!$Q$2-'Mass Ion Calculations'!$C$25-'Mass Ion Calculations'!$C29-'Mass Ion Calculations'!$D$5,'Mass Ion Calculations'!$F$18+'AA Exact Masses'!$Q$2-'Mass Ion Calculations'!$E$25-'Mass Ion Calculations'!$E29-'Mass Ion Calculations'!$D$5),IF('Mass Ion Calculations'!$D$7="Yes", 'Mass Ion Calculations'!$D$15+'AA Exact Masses'!$Q$2-'Mass Ion Calculations'!$C$25-'Mass Ion Calculations'!$C29-'Mass Ion Calculations'!$D$5,'Mass Ion Calculations'!$F$15+'AA Exact Masses'!$Q$2-'Mass Ion Calculations'!$E$25-'Mass Ion Calculations'!$E29-'Mass Ion Calculations'!$D$5)))</f>
        <v/>
      </c>
      <c r="X28" s="3" t="str">
        <f>IF(OR($B28="",X$3=""),"",IF('Mass Ion Calculations'!$D$6="Yes",IF('Mass Ion Calculations'!$D$7="Yes",'Mass Ion Calculations'!$D$18+'AA Exact Masses'!$Q$2-'Mass Ion Calculations'!$C$26-'Mass Ion Calculations'!$C29-'Mass Ion Calculations'!$D$5,'Mass Ion Calculations'!$F$18+'AA Exact Masses'!$Q$2-'Mass Ion Calculations'!$E$26-'Mass Ion Calculations'!$E29-'Mass Ion Calculations'!$D$5),IF('Mass Ion Calculations'!$D$7="Yes", 'Mass Ion Calculations'!$D$15+'AA Exact Masses'!$Q$2-'Mass Ion Calculations'!$C$26-'Mass Ion Calculations'!$C29-'Mass Ion Calculations'!$D$5,'Mass Ion Calculations'!$F$15+'AA Exact Masses'!$Q$2-'Mass Ion Calculations'!$E$26-'Mass Ion Calculations'!$E29-'Mass Ion Calculations'!$D$5)))</f>
        <v/>
      </c>
      <c r="Y28" s="3" t="str">
        <f>IF(OR($B28="",Y$3=""),"",IF('Mass Ion Calculations'!$D$6="Yes",IF('Mass Ion Calculations'!$D$7="Yes",'Mass Ion Calculations'!$D$18+'AA Exact Masses'!$Q$2-'Mass Ion Calculations'!$C$27-'Mass Ion Calculations'!$C29-'Mass Ion Calculations'!$D$5,'Mass Ion Calculations'!$F$18+'AA Exact Masses'!$Q$2-'Mass Ion Calculations'!$E$27-'Mass Ion Calculations'!$E29-'Mass Ion Calculations'!$D$5),IF('Mass Ion Calculations'!$D$7="Yes", 'Mass Ion Calculations'!$D$15+'AA Exact Masses'!$Q$2-'Mass Ion Calculations'!$C$27-'Mass Ion Calculations'!$C29-'Mass Ion Calculations'!$D$5,'Mass Ion Calculations'!$F$15+'AA Exact Masses'!$Q$2-'Mass Ion Calculations'!$E$27-'Mass Ion Calculations'!$E29-'Mass Ion Calculations'!$D$5)))</f>
        <v/>
      </c>
      <c r="Z28" s="3" t="str">
        <f>IF(OR($B28="",Z$3=""),"",IF('Mass Ion Calculations'!$D$6="Yes",IF('Mass Ion Calculations'!$D$7="Yes",'Mass Ion Calculations'!$D$18+'AA Exact Masses'!$Q$2-'Mass Ion Calculations'!$C$28-'Mass Ion Calculations'!$C29-'Mass Ion Calculations'!$D$5,'Mass Ion Calculations'!$F$18+'AA Exact Masses'!$Q$2-'Mass Ion Calculations'!$E$2-'Mass Ion Calculations'!$E29-'Mass Ion Calculations'!$D$5),IF('Mass Ion Calculations'!$D$7="Yes", 'Mass Ion Calculations'!$D$15+'AA Exact Masses'!$Q$2-'Mass Ion Calculations'!$C$28-'Mass Ion Calculations'!$C29-'Mass Ion Calculations'!$D$5,'Mass Ion Calculations'!$F$15+'AA Exact Masses'!$Q$2-'Mass Ion Calculations'!$E$2-'Mass Ion Calculations'!$E29-'Mass Ion Calculations'!$D$5)))</f>
        <v/>
      </c>
    </row>
    <row r="29" spans="2:26" x14ac:dyDescent="0.25">
      <c r="B29" s="4" t="str">
        <f>IF('Mass Ion Calculations'!B30="","",'Mass Ion Calculations'!B30)</f>
        <v/>
      </c>
      <c r="C29" s="3" t="str">
        <f>IF(OR($B29="",C$3=""),"",IF('Mass Ion Calculations'!$D$6="Yes",IF('Mass Ion Calculations'!$D$7="Yes",'Mass Ion Calculations'!$D$18+'AA Exact Masses'!$Q$2-'Mass Ion Calculations'!$C$5-'Mass Ion Calculations'!$C30-'Mass Ion Calculations'!$D$5,'Mass Ion Calculations'!$F$18+'AA Exact Masses'!$Q$2-'Mass Ion Calculations'!$E$5-'Mass Ion Calculations'!E30-'Mass Ion Calculations'!$D$5),IF('Mass Ion Calculations'!$D$7="Yes", 'Mass Ion Calculations'!$D$15+'AA Exact Masses'!$Q$2-'Mass Ion Calculations'!$C$5-'Mass Ion Calculations'!$C30-'Mass Ion Calculations'!$D$5,'Mass Ion Calculations'!$F$15+'AA Exact Masses'!$Q$2-'Mass Ion Calculations'!$E$5-'Mass Ion Calculations'!E30-'Mass Ion Calculations'!$D$5)))</f>
        <v/>
      </c>
      <c r="D29" s="3" t="str">
        <f>IF(OR($B29="",D$3=""),"",IF('Mass Ion Calculations'!$D$6="Yes",IF('Mass Ion Calculations'!$D$7="Yes",'Mass Ion Calculations'!$D$18+'AA Exact Masses'!$Q$2-'Mass Ion Calculations'!$C$6-'Mass Ion Calculations'!$C30-'Mass Ion Calculations'!$D$5,'Mass Ion Calculations'!$F$18+'AA Exact Masses'!$Q$2-'Mass Ion Calculations'!$E$6-'Mass Ion Calculations'!E30-'Mass Ion Calculations'!$D$5),IF('Mass Ion Calculations'!$D$7="Yes", 'Mass Ion Calculations'!$D$15+'AA Exact Masses'!$Q$2-'Mass Ion Calculations'!$C$6-'Mass Ion Calculations'!$C30-'Mass Ion Calculations'!$D$5,'Mass Ion Calculations'!$F$15+'AA Exact Masses'!$Q$2-'Mass Ion Calculations'!$E$6-'Mass Ion Calculations'!E30-'Mass Ion Calculations'!$D$5)))</f>
        <v/>
      </c>
      <c r="E29" s="3" t="str">
        <f>IF(OR($B29="",E$3=""),"",IF('Mass Ion Calculations'!$D$6="Yes",IF('Mass Ion Calculations'!$D$7="Yes",'Mass Ion Calculations'!$D$18+'AA Exact Masses'!$Q$2-'Mass Ion Calculations'!$C$7-'Mass Ion Calculations'!$C30-'Mass Ion Calculations'!$D$5,'Mass Ion Calculations'!$F$18+'AA Exact Masses'!$Q$2-'Mass Ion Calculations'!$E$7-'Mass Ion Calculations'!$E30-'Mass Ion Calculations'!$D$5),IF('Mass Ion Calculations'!$D$7="Yes", 'Mass Ion Calculations'!$D$15+'AA Exact Masses'!$Q$2-'Mass Ion Calculations'!$C$7-'Mass Ion Calculations'!$C30-'Mass Ion Calculations'!$D$5,'Mass Ion Calculations'!$F$15+'AA Exact Masses'!$Q$2-'Mass Ion Calculations'!$E$7-'Mass Ion Calculations'!$E30-'Mass Ion Calculations'!$D$5)))</f>
        <v/>
      </c>
      <c r="F29" s="3" t="str">
        <f>IF(OR($B29="",F$3=""),"",IF('Mass Ion Calculations'!$D$6="Yes",IF('Mass Ion Calculations'!$D$7="Yes",'Mass Ion Calculations'!$D$18+'AA Exact Masses'!$Q$2-'Mass Ion Calculations'!$C$8-'Mass Ion Calculations'!$C30-'Mass Ion Calculations'!$D$5,'Mass Ion Calculations'!$F$18+'AA Exact Masses'!$Q$2-'Mass Ion Calculations'!$E$8-'Mass Ion Calculations'!$E30-'Mass Ion Calculations'!$D$5),IF('Mass Ion Calculations'!$D$7="Yes", 'Mass Ion Calculations'!$D$15+'AA Exact Masses'!$Q$2-'Mass Ion Calculations'!$C$8-'Mass Ion Calculations'!$C30-'Mass Ion Calculations'!$D$5,'Mass Ion Calculations'!$F$15+'AA Exact Masses'!$Q$2-'Mass Ion Calculations'!$E$8-'Mass Ion Calculations'!$E30-'Mass Ion Calculations'!$D$5)))</f>
        <v/>
      </c>
      <c r="G29" s="3" t="str">
        <f>IF(OR($B29="",G$3=""),"",IF('Mass Ion Calculations'!$D$6="Yes",IF('Mass Ion Calculations'!$D$7="Yes",'Mass Ion Calculations'!$D$18+'AA Exact Masses'!$Q$2-'Mass Ion Calculations'!$C$9-'Mass Ion Calculations'!$C30-'Mass Ion Calculations'!$D$5,'Mass Ion Calculations'!$F$18+'AA Exact Masses'!$Q$2-'Mass Ion Calculations'!$E$9-'Mass Ion Calculations'!$E30-'Mass Ion Calculations'!$D$5),IF('Mass Ion Calculations'!$D$7="Yes", 'Mass Ion Calculations'!$D$15+'AA Exact Masses'!$Q$2-'Mass Ion Calculations'!$C$9-'Mass Ion Calculations'!$C30-'Mass Ion Calculations'!$D$5,'Mass Ion Calculations'!$F$15+'AA Exact Masses'!$Q$2-'Mass Ion Calculations'!$E$9-'Mass Ion Calculations'!$E30-'Mass Ion Calculations'!$D$5)))</f>
        <v/>
      </c>
      <c r="H29" s="3" t="str">
        <f>IF(OR($B29="",H$3=""),"",IF('Mass Ion Calculations'!$D$6="Yes",IF('Mass Ion Calculations'!$D$7="Yes",'Mass Ion Calculations'!$D$18+'AA Exact Masses'!$Q$2-'Mass Ion Calculations'!$C$10-'Mass Ion Calculations'!$C30-'Mass Ion Calculations'!$D$5,'Mass Ion Calculations'!$F$18+'AA Exact Masses'!$Q$2-'Mass Ion Calculations'!$E$10-'Mass Ion Calculations'!$E30-'Mass Ion Calculations'!$D$5),IF('Mass Ion Calculations'!$D$7="Yes", 'Mass Ion Calculations'!$D$15+'AA Exact Masses'!$Q$2-'Mass Ion Calculations'!$C$10-'Mass Ion Calculations'!$C30-'Mass Ion Calculations'!$D$5,'Mass Ion Calculations'!$F$15+'AA Exact Masses'!$Q$2-'Mass Ion Calculations'!$E$10-'Mass Ion Calculations'!$E30-'Mass Ion Calculations'!$D$5)))</f>
        <v/>
      </c>
      <c r="I29" s="3" t="str">
        <f>IF(OR($B29="",I$3=""),"",IF('Mass Ion Calculations'!$D$6="Yes",IF('Mass Ion Calculations'!$D$7="Yes",'Mass Ion Calculations'!$D$18+'AA Exact Masses'!$Q$2-'Mass Ion Calculations'!$C$11-'Mass Ion Calculations'!$C30-'Mass Ion Calculations'!$D$5,'Mass Ion Calculations'!$F$18+'AA Exact Masses'!$Q$2-'Mass Ion Calculations'!$E$11-'Mass Ion Calculations'!$E30-'Mass Ion Calculations'!$D$5),IF('Mass Ion Calculations'!$D$7="Yes", 'Mass Ion Calculations'!$D$15+'AA Exact Masses'!$Q$2-'Mass Ion Calculations'!$C$11-'Mass Ion Calculations'!$C30-'Mass Ion Calculations'!$D$5,'Mass Ion Calculations'!$F$15+'AA Exact Masses'!$Q$2-'Mass Ion Calculations'!$E$11-'Mass Ion Calculations'!$E30-'Mass Ion Calculations'!$D$5)))</f>
        <v/>
      </c>
      <c r="J29" s="3" t="str">
        <f>IF(OR($B29="",J$3=""),"",IF('Mass Ion Calculations'!$D$6="Yes",IF('Mass Ion Calculations'!$D$7="Yes",'Mass Ion Calculations'!$D$18+'AA Exact Masses'!$Q$2-'Mass Ion Calculations'!$C$12-'Mass Ion Calculations'!$C30-'Mass Ion Calculations'!$D$5,'Mass Ion Calculations'!$F$18+'AA Exact Masses'!$Q$2-'Mass Ion Calculations'!$E$12-'Mass Ion Calculations'!$E30-'Mass Ion Calculations'!$D$5),IF('Mass Ion Calculations'!$D$7="Yes", 'Mass Ion Calculations'!$D$15+'AA Exact Masses'!$Q$2-'Mass Ion Calculations'!$C$12-'Mass Ion Calculations'!$C30-'Mass Ion Calculations'!$D$5,'Mass Ion Calculations'!$F$15+'AA Exact Masses'!$Q$2-'Mass Ion Calculations'!$E$12-'Mass Ion Calculations'!$E30-'Mass Ion Calculations'!$D$5)))</f>
        <v/>
      </c>
      <c r="K29" s="3" t="str">
        <f>IF(OR($B29="",K$3=""),"",IF('Mass Ion Calculations'!$D$6="Yes",IF('Mass Ion Calculations'!$D$7="Yes",'Mass Ion Calculations'!$D$18+'AA Exact Masses'!$Q$2-'Mass Ion Calculations'!$C$13-'Mass Ion Calculations'!$C30-'Mass Ion Calculations'!$D$5,'Mass Ion Calculations'!$F$18+'AA Exact Masses'!$Q$2-'Mass Ion Calculations'!$E$14-'Mass Ion Calculations'!$E30-'Mass Ion Calculations'!$D$5),IF('Mass Ion Calculations'!$D$7="Yes", 'Mass Ion Calculations'!$D$15+'AA Exact Masses'!$Q$2-'Mass Ion Calculations'!$C$13-'Mass Ion Calculations'!$C30-'Mass Ion Calculations'!$D$5,'Mass Ion Calculations'!$F$15+'AA Exact Masses'!$Q$2-'Mass Ion Calculations'!$E$14-'Mass Ion Calculations'!$E30-'Mass Ion Calculations'!$D$5)))</f>
        <v/>
      </c>
      <c r="L29" s="3" t="str">
        <f>IF(OR($B29="",L$3=""),"",IF('Mass Ion Calculations'!$D$6="Yes",IF('Mass Ion Calculations'!$D$7="Yes",'Mass Ion Calculations'!$D$18+'AA Exact Masses'!$Q$2-'Mass Ion Calculations'!$C$14-'Mass Ion Calculations'!$C30-'Mass Ion Calculations'!$D$5,'Mass Ion Calculations'!$F$18+'AA Exact Masses'!$Q$2-'Mass Ion Calculations'!$E$15-'Mass Ion Calculations'!$E30-'Mass Ion Calculations'!$D$5),IF('Mass Ion Calculations'!$D$7="Yes", 'Mass Ion Calculations'!$D$15+'AA Exact Masses'!$Q$2-'Mass Ion Calculations'!$C$14-'Mass Ion Calculations'!$C30-'Mass Ion Calculations'!$D$5,'Mass Ion Calculations'!$F$15+'AA Exact Masses'!$Q$2-'Mass Ion Calculations'!$E$15-'Mass Ion Calculations'!$E30-'Mass Ion Calculations'!$D$5)))</f>
        <v/>
      </c>
      <c r="M29" s="3" t="str">
        <f>IF(OR($B29="",M$3=""),"",IF('Mass Ion Calculations'!$D$6="Yes",IF('Mass Ion Calculations'!$D$7="Yes",'Mass Ion Calculations'!$D$18+'AA Exact Masses'!$Q$2-'Mass Ion Calculations'!$C$15-'Mass Ion Calculations'!$C30-'Mass Ion Calculations'!$D$5,'Mass Ion Calculations'!$F$18+'AA Exact Masses'!$Q$2-'Mass Ion Calculations'!$E$16-'Mass Ion Calculations'!$E30-'Mass Ion Calculations'!$D$5),IF('Mass Ion Calculations'!$D$7="Yes", 'Mass Ion Calculations'!$D$15+'AA Exact Masses'!$Q$2-'Mass Ion Calculations'!$C$15-'Mass Ion Calculations'!$C30-'Mass Ion Calculations'!$D$5,'Mass Ion Calculations'!$F$15+'AA Exact Masses'!$Q$2-'Mass Ion Calculations'!$E$16-'Mass Ion Calculations'!$E30-'Mass Ion Calculations'!$D$5)))</f>
        <v/>
      </c>
      <c r="N29" s="3" t="str">
        <f>IF(OR($B29="",N$3=""),"",IF('Mass Ion Calculations'!$D$6="Yes",IF('Mass Ion Calculations'!$D$7="Yes",'Mass Ion Calculations'!$D$18+'AA Exact Masses'!$Q$2-'Mass Ion Calculations'!$C$16-'Mass Ion Calculations'!$C30-'Mass Ion Calculations'!$D$5,'Mass Ion Calculations'!$F$18+'AA Exact Masses'!$Q$2-'Mass Ion Calculations'!$E$17-'Mass Ion Calculations'!$E30-'Mass Ion Calculations'!$D$5),IF('Mass Ion Calculations'!$D$7="Yes", 'Mass Ion Calculations'!$D$15+'AA Exact Masses'!$Q$2-'Mass Ion Calculations'!$C$16-'Mass Ion Calculations'!$C30-'Mass Ion Calculations'!$D$5,'Mass Ion Calculations'!$F$15+'AA Exact Masses'!$Q$2-'Mass Ion Calculations'!$E$17-'Mass Ion Calculations'!$E30-'Mass Ion Calculations'!$D$5)))</f>
        <v/>
      </c>
      <c r="O29" s="3" t="str">
        <f>IF(OR($B29="",O$3=""),"",IF('Mass Ion Calculations'!$D$6="Yes",IF('Mass Ion Calculations'!$D$7="Yes",'Mass Ion Calculations'!$D$18+'AA Exact Masses'!$Q$2-'Mass Ion Calculations'!$C$17-'Mass Ion Calculations'!$C30-'Mass Ion Calculations'!$D$5,'Mass Ion Calculations'!$F$18+'AA Exact Masses'!$Q$2-'Mass Ion Calculations'!$E$18-'Mass Ion Calculations'!$E30-'Mass Ion Calculations'!$D$5),IF('Mass Ion Calculations'!$D$7="Yes", 'Mass Ion Calculations'!$D$15+'AA Exact Masses'!$Q$2-'Mass Ion Calculations'!$C$17-'Mass Ion Calculations'!$C30-'Mass Ion Calculations'!$D$5,'Mass Ion Calculations'!$F$15+'AA Exact Masses'!$Q$2-'Mass Ion Calculations'!$E$18-'Mass Ion Calculations'!$E30-'Mass Ion Calculations'!$D$5)))</f>
        <v/>
      </c>
      <c r="P29" s="3" t="str">
        <f>IF(OR($B29="",P$3=""),"",IF('Mass Ion Calculations'!$D$6="Yes",IF('Mass Ion Calculations'!$D$7="Yes",'Mass Ion Calculations'!$D$18+'AA Exact Masses'!$Q$2-'Mass Ion Calculations'!$C$18-'Mass Ion Calculations'!$C30-'Mass Ion Calculations'!$D$5,'Mass Ion Calculations'!$F$18+'AA Exact Masses'!$Q$2-'Mass Ion Calculations'!#REF!-'Mass Ion Calculations'!$E30-'Mass Ion Calculations'!$D$5),IF('Mass Ion Calculations'!$D$7="Yes", 'Mass Ion Calculations'!$D$15+'AA Exact Masses'!$Q$2-'Mass Ion Calculations'!$C$18-'Mass Ion Calculations'!$C30-'Mass Ion Calculations'!$D$5,'Mass Ion Calculations'!$F$15+'AA Exact Masses'!$Q$2-'Mass Ion Calculations'!#REF!-'Mass Ion Calculations'!$E30-'Mass Ion Calculations'!$D$5)))</f>
        <v/>
      </c>
      <c r="Q29" s="3" t="str">
        <f>IF(OR($B29="",Q$3=""),"",IF('Mass Ion Calculations'!$D$6="Yes",IF('Mass Ion Calculations'!$D$7="Yes",'Mass Ion Calculations'!$D$18+'AA Exact Masses'!$Q$2-'Mass Ion Calculations'!$C$19-'Mass Ion Calculations'!$C30-'Mass Ion Calculations'!$D$5,'Mass Ion Calculations'!$F$18+'AA Exact Masses'!$Q$2-'Mass Ion Calculations'!$E$19-'Mass Ion Calculations'!$E30-'Mass Ion Calculations'!$D$5),IF('Mass Ion Calculations'!$D$7="Yes", 'Mass Ion Calculations'!$D$15+'AA Exact Masses'!$Q$2-'Mass Ion Calculations'!$C$19-'Mass Ion Calculations'!$C30-'Mass Ion Calculations'!$D$5,'Mass Ion Calculations'!$F$15+'AA Exact Masses'!$Q$2-'Mass Ion Calculations'!$E$19-'Mass Ion Calculations'!$E30-'Mass Ion Calculations'!$D$5)))</f>
        <v/>
      </c>
      <c r="R29" s="3" t="str">
        <f>IF(OR($B29="",R$3=""),"",IF('Mass Ion Calculations'!$D$6="Yes",IF('Mass Ion Calculations'!$D$7="Yes",'Mass Ion Calculations'!$D$18+'AA Exact Masses'!$Q$2-'Mass Ion Calculations'!$C$20-'Mass Ion Calculations'!$C30-'Mass Ion Calculations'!$D$5,'Mass Ion Calculations'!$F$18+'AA Exact Masses'!$Q$2-'Mass Ion Calculations'!$E$20-'Mass Ion Calculations'!$E30-'Mass Ion Calculations'!$D$5),IF('Mass Ion Calculations'!$D$7="Yes", 'Mass Ion Calculations'!$D$15+'AA Exact Masses'!$Q$2-'Mass Ion Calculations'!$C$20-'Mass Ion Calculations'!$C30-'Mass Ion Calculations'!$D$5,'Mass Ion Calculations'!$F$15+'AA Exact Masses'!$Q$2-'Mass Ion Calculations'!$E$20-'Mass Ion Calculations'!$E30-'Mass Ion Calculations'!$D$5)))</f>
        <v/>
      </c>
      <c r="S29" s="3" t="str">
        <f>IF(OR($B29="",S$3=""),"",IF('Mass Ion Calculations'!$D$6="Yes",IF('Mass Ion Calculations'!$D$7="Yes",'Mass Ion Calculations'!$D$18+'AA Exact Masses'!$Q$2-'Mass Ion Calculations'!$C$21-'Mass Ion Calculations'!$C30-'Mass Ion Calculations'!$D$5,'Mass Ion Calculations'!$F$18+'AA Exact Masses'!$Q$2-'Mass Ion Calculations'!$E$21-'Mass Ion Calculations'!$E30-'Mass Ion Calculations'!$D$5),IF('Mass Ion Calculations'!$D$7="Yes", 'Mass Ion Calculations'!$D$15+'AA Exact Masses'!$Q$2-'Mass Ion Calculations'!$C$21-'Mass Ion Calculations'!$C30-'Mass Ion Calculations'!$D$5,'Mass Ion Calculations'!$F$15+'AA Exact Masses'!$Q$2-'Mass Ion Calculations'!$E$21-'Mass Ion Calculations'!$E30-'Mass Ion Calculations'!$D$5)))</f>
        <v/>
      </c>
      <c r="T29" s="3" t="str">
        <f>IF(OR($B29="",T$3=""),"",IF('Mass Ion Calculations'!$D$6="Yes",IF('Mass Ion Calculations'!$D$7="Yes",'Mass Ion Calculations'!$D$18+'AA Exact Masses'!$Q$2-'Mass Ion Calculations'!$C$22-'Mass Ion Calculations'!$C30-'Mass Ion Calculations'!$D$5,'Mass Ion Calculations'!$F$18+'AA Exact Masses'!$Q$2-'Mass Ion Calculations'!$E$22-'Mass Ion Calculations'!$E30-'Mass Ion Calculations'!$D$5),IF('Mass Ion Calculations'!$D$7="Yes", 'Mass Ion Calculations'!$D$15+'AA Exact Masses'!$Q$2-'Mass Ion Calculations'!$C$22-'Mass Ion Calculations'!$C30-'Mass Ion Calculations'!$D$5,'Mass Ion Calculations'!$F$15+'AA Exact Masses'!$Q$2-'Mass Ion Calculations'!$E$22-'Mass Ion Calculations'!$E30-'Mass Ion Calculations'!$D$5)))</f>
        <v/>
      </c>
      <c r="U29" s="3" t="str">
        <f>IF(OR($B29="",U$3=""),"",IF('Mass Ion Calculations'!$D$6="Yes",IF('Mass Ion Calculations'!$D$7="Yes",'Mass Ion Calculations'!$D$18+'AA Exact Masses'!$Q$2-'Mass Ion Calculations'!$C$23-'Mass Ion Calculations'!$C30-'Mass Ion Calculations'!$D$5,'Mass Ion Calculations'!$F$18+'AA Exact Masses'!$Q$2-'Mass Ion Calculations'!$E$23-'Mass Ion Calculations'!$E30-'Mass Ion Calculations'!$D$5),IF('Mass Ion Calculations'!$D$7="Yes", 'Mass Ion Calculations'!$D$15+'AA Exact Masses'!$Q$2-'Mass Ion Calculations'!$C$23-'Mass Ion Calculations'!$C30-'Mass Ion Calculations'!$D$5,'Mass Ion Calculations'!$F$15+'AA Exact Masses'!$Q$2-'Mass Ion Calculations'!$E$23-'Mass Ion Calculations'!$E30-'Mass Ion Calculations'!$D$5)))</f>
        <v/>
      </c>
      <c r="V29" s="3" t="str">
        <f>IF(OR($B29="",V$3=""),"",IF('Mass Ion Calculations'!$D$6="Yes",IF('Mass Ion Calculations'!$D$7="Yes",'Mass Ion Calculations'!$D$18+'AA Exact Masses'!$Q$2-'Mass Ion Calculations'!$C$24-'Mass Ion Calculations'!$C30-'Mass Ion Calculations'!$D$5,'Mass Ion Calculations'!$F$18+'AA Exact Masses'!$Q$2-'Mass Ion Calculations'!$E$24-'Mass Ion Calculations'!$E30-'Mass Ion Calculations'!$D$5),IF('Mass Ion Calculations'!$D$7="Yes", 'Mass Ion Calculations'!$D$15+'AA Exact Masses'!$Q$2-'Mass Ion Calculations'!$C$24-'Mass Ion Calculations'!$C30-'Mass Ion Calculations'!$D$5,'Mass Ion Calculations'!$F$15+'AA Exact Masses'!$Q$2-'Mass Ion Calculations'!$E$24-'Mass Ion Calculations'!$E30-'Mass Ion Calculations'!$D$5)))</f>
        <v/>
      </c>
      <c r="W29" s="3" t="str">
        <f>IF(OR($B29="",W$3=""),"",IF('Mass Ion Calculations'!$D$6="Yes",IF('Mass Ion Calculations'!$D$7="Yes",'Mass Ion Calculations'!$D$18+'AA Exact Masses'!$Q$2-'Mass Ion Calculations'!$C$25-'Mass Ion Calculations'!$C30-'Mass Ion Calculations'!$D$5,'Mass Ion Calculations'!$F$18+'AA Exact Masses'!$Q$2-'Mass Ion Calculations'!$E$25-'Mass Ion Calculations'!$E30-'Mass Ion Calculations'!$D$5),IF('Mass Ion Calculations'!$D$7="Yes", 'Mass Ion Calculations'!$D$15+'AA Exact Masses'!$Q$2-'Mass Ion Calculations'!$C$25-'Mass Ion Calculations'!$C30-'Mass Ion Calculations'!$D$5,'Mass Ion Calculations'!$F$15+'AA Exact Masses'!$Q$2-'Mass Ion Calculations'!$E$25-'Mass Ion Calculations'!$E30-'Mass Ion Calculations'!$D$5)))</f>
        <v/>
      </c>
      <c r="X29" s="3" t="str">
        <f>IF(OR($B29="",X$3=""),"",IF('Mass Ion Calculations'!$D$6="Yes",IF('Mass Ion Calculations'!$D$7="Yes",'Mass Ion Calculations'!$D$18+'AA Exact Masses'!$Q$2-'Mass Ion Calculations'!$C$26-'Mass Ion Calculations'!$C30-'Mass Ion Calculations'!$D$5,'Mass Ion Calculations'!$F$18+'AA Exact Masses'!$Q$2-'Mass Ion Calculations'!$E$26-'Mass Ion Calculations'!$E30-'Mass Ion Calculations'!$D$5),IF('Mass Ion Calculations'!$D$7="Yes", 'Mass Ion Calculations'!$D$15+'AA Exact Masses'!$Q$2-'Mass Ion Calculations'!$C$26-'Mass Ion Calculations'!$C30-'Mass Ion Calculations'!$D$5,'Mass Ion Calculations'!$F$15+'AA Exact Masses'!$Q$2-'Mass Ion Calculations'!$E$26-'Mass Ion Calculations'!$E30-'Mass Ion Calculations'!$D$5)))</f>
        <v/>
      </c>
      <c r="Y29" s="3" t="str">
        <f>IF(OR($B29="",Y$3=""),"",IF('Mass Ion Calculations'!$D$6="Yes",IF('Mass Ion Calculations'!$D$7="Yes",'Mass Ion Calculations'!$D$18+'AA Exact Masses'!$Q$2-'Mass Ion Calculations'!$C$27-'Mass Ion Calculations'!$C30-'Mass Ion Calculations'!$D$5,'Mass Ion Calculations'!$F$18+'AA Exact Masses'!$Q$2-'Mass Ion Calculations'!$E$27-'Mass Ion Calculations'!$E30-'Mass Ion Calculations'!$D$5),IF('Mass Ion Calculations'!$D$7="Yes", 'Mass Ion Calculations'!$D$15+'AA Exact Masses'!$Q$2-'Mass Ion Calculations'!$C$27-'Mass Ion Calculations'!$C30-'Mass Ion Calculations'!$D$5,'Mass Ion Calculations'!$F$15+'AA Exact Masses'!$Q$2-'Mass Ion Calculations'!$E$27-'Mass Ion Calculations'!$E30-'Mass Ion Calculations'!$D$5)))</f>
        <v/>
      </c>
      <c r="Z29" s="3" t="str">
        <f>IF(OR($B29="",Z$3=""),"",IF('Mass Ion Calculations'!$D$6="Yes",IF('Mass Ion Calculations'!$D$7="Yes",'Mass Ion Calculations'!$D$18+'AA Exact Masses'!$Q$2-'Mass Ion Calculations'!$C$28-'Mass Ion Calculations'!$C30-'Mass Ion Calculations'!$D$5,'Mass Ion Calculations'!$F$18+'AA Exact Masses'!$Q$2-'Mass Ion Calculations'!$E$2-'Mass Ion Calculations'!$E30-'Mass Ion Calculations'!$D$5),IF('Mass Ion Calculations'!$D$7="Yes", 'Mass Ion Calculations'!$D$15+'AA Exact Masses'!$Q$2-'Mass Ion Calculations'!$C$28-'Mass Ion Calculations'!$C30-'Mass Ion Calculations'!$D$5,'Mass Ion Calculations'!$F$15+'AA Exact Masses'!$Q$2-'Mass Ion Calculations'!$E$2-'Mass Ion Calculations'!$E30-'Mass Ion Calculations'!$D$5)))</f>
        <v/>
      </c>
    </row>
    <row r="30" spans="2:26" x14ac:dyDescent="0.25">
      <c r="B30" s="4" t="str">
        <f>IF('Mass Ion Calculations'!B31="","",'Mass Ion Calculations'!B31)</f>
        <v/>
      </c>
      <c r="C30" s="3" t="str">
        <f>IF(OR($B30="",C$3=""),"",IF('Mass Ion Calculations'!$D$6="Yes",IF('Mass Ion Calculations'!$D$7="Yes",'Mass Ion Calculations'!$D$18+'AA Exact Masses'!$Q$2-'Mass Ion Calculations'!$C$5-'Mass Ion Calculations'!$C31-'Mass Ion Calculations'!$D$5,'Mass Ion Calculations'!$F$18+'AA Exact Masses'!$Q$2-'Mass Ion Calculations'!$E$5-'Mass Ion Calculations'!E31-'Mass Ion Calculations'!$D$5),IF('Mass Ion Calculations'!$D$7="Yes", 'Mass Ion Calculations'!$D$15+'AA Exact Masses'!$Q$2-'Mass Ion Calculations'!$C$5-'Mass Ion Calculations'!$C31-'Mass Ion Calculations'!$D$5,'Mass Ion Calculations'!$F$15+'AA Exact Masses'!$Q$2-'Mass Ion Calculations'!$E$5-'Mass Ion Calculations'!E31-'Mass Ion Calculations'!$D$5)))</f>
        <v/>
      </c>
      <c r="D30" s="3" t="str">
        <f>IF(OR($B30="",D$3=""),"",IF('Mass Ion Calculations'!$D$6="Yes",IF('Mass Ion Calculations'!$D$7="Yes",'Mass Ion Calculations'!$D$18+'AA Exact Masses'!$Q$2-'Mass Ion Calculations'!$C$6-'Mass Ion Calculations'!$C31-'Mass Ion Calculations'!$D$5,'Mass Ion Calculations'!$F$18+'AA Exact Masses'!$Q$2-'Mass Ion Calculations'!$E$6-'Mass Ion Calculations'!E31-'Mass Ion Calculations'!$D$5),IF('Mass Ion Calculations'!$D$7="Yes", 'Mass Ion Calculations'!$D$15+'AA Exact Masses'!$Q$2-'Mass Ion Calculations'!$C$6-'Mass Ion Calculations'!$C31-'Mass Ion Calculations'!$D$5,'Mass Ion Calculations'!$F$15+'AA Exact Masses'!$Q$2-'Mass Ion Calculations'!$E$6-'Mass Ion Calculations'!E31-'Mass Ion Calculations'!$D$5)))</f>
        <v/>
      </c>
      <c r="E30" s="3" t="str">
        <f>IF(OR($B30="",E$3=""),"",IF('Mass Ion Calculations'!$D$6="Yes",IF('Mass Ion Calculations'!$D$7="Yes",'Mass Ion Calculations'!$D$18+'AA Exact Masses'!$Q$2-'Mass Ion Calculations'!$C$7-'Mass Ion Calculations'!$C31-'Mass Ion Calculations'!$D$5,'Mass Ion Calculations'!$F$18+'AA Exact Masses'!$Q$2-'Mass Ion Calculations'!$E$7-'Mass Ion Calculations'!$E31-'Mass Ion Calculations'!$D$5),IF('Mass Ion Calculations'!$D$7="Yes", 'Mass Ion Calculations'!$D$15+'AA Exact Masses'!$Q$2-'Mass Ion Calculations'!$C$7-'Mass Ion Calculations'!$C31-'Mass Ion Calculations'!$D$5,'Mass Ion Calculations'!$F$15+'AA Exact Masses'!$Q$2-'Mass Ion Calculations'!$E$7-'Mass Ion Calculations'!$E31-'Mass Ion Calculations'!$D$5)))</f>
        <v/>
      </c>
      <c r="F30" s="3" t="str">
        <f>IF(OR($B30="",F$3=""),"",IF('Mass Ion Calculations'!$D$6="Yes",IF('Mass Ion Calculations'!$D$7="Yes",'Mass Ion Calculations'!$D$18+'AA Exact Masses'!$Q$2-'Mass Ion Calculations'!$C$8-'Mass Ion Calculations'!$C31-'Mass Ion Calculations'!$D$5,'Mass Ion Calculations'!$F$18+'AA Exact Masses'!$Q$2-'Mass Ion Calculations'!$E$8-'Mass Ion Calculations'!$E31-'Mass Ion Calculations'!$D$5),IF('Mass Ion Calculations'!$D$7="Yes", 'Mass Ion Calculations'!$D$15+'AA Exact Masses'!$Q$2-'Mass Ion Calculations'!$C$8-'Mass Ion Calculations'!$C31-'Mass Ion Calculations'!$D$5,'Mass Ion Calculations'!$F$15+'AA Exact Masses'!$Q$2-'Mass Ion Calculations'!$E$8-'Mass Ion Calculations'!$E31-'Mass Ion Calculations'!$D$5)))</f>
        <v/>
      </c>
      <c r="G30" s="3" t="str">
        <f>IF(OR($B30="",G$3=""),"",IF('Mass Ion Calculations'!$D$6="Yes",IF('Mass Ion Calculations'!$D$7="Yes",'Mass Ion Calculations'!$D$18+'AA Exact Masses'!$Q$2-'Mass Ion Calculations'!$C$9-'Mass Ion Calculations'!$C31-'Mass Ion Calculations'!$D$5,'Mass Ion Calculations'!$F$18+'AA Exact Masses'!$Q$2-'Mass Ion Calculations'!$E$9-'Mass Ion Calculations'!$E31-'Mass Ion Calculations'!$D$5),IF('Mass Ion Calculations'!$D$7="Yes", 'Mass Ion Calculations'!$D$15+'AA Exact Masses'!$Q$2-'Mass Ion Calculations'!$C$9-'Mass Ion Calculations'!$C31-'Mass Ion Calculations'!$D$5,'Mass Ion Calculations'!$F$15+'AA Exact Masses'!$Q$2-'Mass Ion Calculations'!$E$9-'Mass Ion Calculations'!$E31-'Mass Ion Calculations'!$D$5)))</f>
        <v/>
      </c>
      <c r="H30" s="3" t="str">
        <f>IF(OR($B30="",H$3=""),"",IF('Mass Ion Calculations'!$D$6="Yes",IF('Mass Ion Calculations'!$D$7="Yes",'Mass Ion Calculations'!$D$18+'AA Exact Masses'!$Q$2-'Mass Ion Calculations'!$C$10-'Mass Ion Calculations'!$C31-'Mass Ion Calculations'!$D$5,'Mass Ion Calculations'!$F$18+'AA Exact Masses'!$Q$2-'Mass Ion Calculations'!$E$10-'Mass Ion Calculations'!$E31-'Mass Ion Calculations'!$D$5),IF('Mass Ion Calculations'!$D$7="Yes", 'Mass Ion Calculations'!$D$15+'AA Exact Masses'!$Q$2-'Mass Ion Calculations'!$C$10-'Mass Ion Calculations'!$C31-'Mass Ion Calculations'!$D$5,'Mass Ion Calculations'!$F$15+'AA Exact Masses'!$Q$2-'Mass Ion Calculations'!$E$10-'Mass Ion Calculations'!$E31-'Mass Ion Calculations'!$D$5)))</f>
        <v/>
      </c>
      <c r="I30" s="3" t="str">
        <f>IF(OR($B30="",I$3=""),"",IF('Mass Ion Calculations'!$D$6="Yes",IF('Mass Ion Calculations'!$D$7="Yes",'Mass Ion Calculations'!$D$18+'AA Exact Masses'!$Q$2-'Mass Ion Calculations'!$C$11-'Mass Ion Calculations'!$C31-'Mass Ion Calculations'!$D$5,'Mass Ion Calculations'!$F$18+'AA Exact Masses'!$Q$2-'Mass Ion Calculations'!$E$11-'Mass Ion Calculations'!$E31-'Mass Ion Calculations'!$D$5),IF('Mass Ion Calculations'!$D$7="Yes", 'Mass Ion Calculations'!$D$15+'AA Exact Masses'!$Q$2-'Mass Ion Calculations'!$C$11-'Mass Ion Calculations'!$C31-'Mass Ion Calculations'!$D$5,'Mass Ion Calculations'!$F$15+'AA Exact Masses'!$Q$2-'Mass Ion Calculations'!$E$11-'Mass Ion Calculations'!$E31-'Mass Ion Calculations'!$D$5)))</f>
        <v/>
      </c>
      <c r="J30" s="3" t="str">
        <f>IF(OR($B30="",J$3=""),"",IF('Mass Ion Calculations'!$D$6="Yes",IF('Mass Ion Calculations'!$D$7="Yes",'Mass Ion Calculations'!$D$18+'AA Exact Masses'!$Q$2-'Mass Ion Calculations'!$C$12-'Mass Ion Calculations'!$C31-'Mass Ion Calculations'!$D$5,'Mass Ion Calculations'!$F$18+'AA Exact Masses'!$Q$2-'Mass Ion Calculations'!$E$12-'Mass Ion Calculations'!$E31-'Mass Ion Calculations'!$D$5),IF('Mass Ion Calculations'!$D$7="Yes", 'Mass Ion Calculations'!$D$15+'AA Exact Masses'!$Q$2-'Mass Ion Calculations'!$C$12-'Mass Ion Calculations'!$C31-'Mass Ion Calculations'!$D$5,'Mass Ion Calculations'!$F$15+'AA Exact Masses'!$Q$2-'Mass Ion Calculations'!$E$12-'Mass Ion Calculations'!$E31-'Mass Ion Calculations'!$D$5)))</f>
        <v/>
      </c>
      <c r="K30" s="3" t="str">
        <f>IF(OR($B30="",K$3=""),"",IF('Mass Ion Calculations'!$D$6="Yes",IF('Mass Ion Calculations'!$D$7="Yes",'Mass Ion Calculations'!$D$18+'AA Exact Masses'!$Q$2-'Mass Ion Calculations'!$C$13-'Mass Ion Calculations'!$C31-'Mass Ion Calculations'!$D$5,'Mass Ion Calculations'!$F$18+'AA Exact Masses'!$Q$2-'Mass Ion Calculations'!$E$14-'Mass Ion Calculations'!$E31-'Mass Ion Calculations'!$D$5),IF('Mass Ion Calculations'!$D$7="Yes", 'Mass Ion Calculations'!$D$15+'AA Exact Masses'!$Q$2-'Mass Ion Calculations'!$C$13-'Mass Ion Calculations'!$C31-'Mass Ion Calculations'!$D$5,'Mass Ion Calculations'!$F$15+'AA Exact Masses'!$Q$2-'Mass Ion Calculations'!$E$14-'Mass Ion Calculations'!$E31-'Mass Ion Calculations'!$D$5)))</f>
        <v/>
      </c>
      <c r="L30" s="3" t="str">
        <f>IF(OR($B30="",L$3=""),"",IF('Mass Ion Calculations'!$D$6="Yes",IF('Mass Ion Calculations'!$D$7="Yes",'Mass Ion Calculations'!$D$18+'AA Exact Masses'!$Q$2-'Mass Ion Calculations'!$C$14-'Mass Ion Calculations'!$C31-'Mass Ion Calculations'!$D$5,'Mass Ion Calculations'!$F$18+'AA Exact Masses'!$Q$2-'Mass Ion Calculations'!$E$15-'Mass Ion Calculations'!$E31-'Mass Ion Calculations'!$D$5),IF('Mass Ion Calculations'!$D$7="Yes", 'Mass Ion Calculations'!$D$15+'AA Exact Masses'!$Q$2-'Mass Ion Calculations'!$C$14-'Mass Ion Calculations'!$C31-'Mass Ion Calculations'!$D$5,'Mass Ion Calculations'!$F$15+'AA Exact Masses'!$Q$2-'Mass Ion Calculations'!$E$15-'Mass Ion Calculations'!$E31-'Mass Ion Calculations'!$D$5)))</f>
        <v/>
      </c>
      <c r="M30" s="3" t="str">
        <f>IF(OR($B30="",M$3=""),"",IF('Mass Ion Calculations'!$D$6="Yes",IF('Mass Ion Calculations'!$D$7="Yes",'Mass Ion Calculations'!$D$18+'AA Exact Masses'!$Q$2-'Mass Ion Calculations'!$C$15-'Mass Ion Calculations'!$C31-'Mass Ion Calculations'!$D$5,'Mass Ion Calculations'!$F$18+'AA Exact Masses'!$Q$2-'Mass Ion Calculations'!$E$16-'Mass Ion Calculations'!$E31-'Mass Ion Calculations'!$D$5),IF('Mass Ion Calculations'!$D$7="Yes", 'Mass Ion Calculations'!$D$15+'AA Exact Masses'!$Q$2-'Mass Ion Calculations'!$C$15-'Mass Ion Calculations'!$C31-'Mass Ion Calculations'!$D$5,'Mass Ion Calculations'!$F$15+'AA Exact Masses'!$Q$2-'Mass Ion Calculations'!$E$16-'Mass Ion Calculations'!$E31-'Mass Ion Calculations'!$D$5)))</f>
        <v/>
      </c>
      <c r="N30" s="3" t="str">
        <f>IF(OR($B30="",N$3=""),"",IF('Mass Ion Calculations'!$D$6="Yes",IF('Mass Ion Calculations'!$D$7="Yes",'Mass Ion Calculations'!$D$18+'AA Exact Masses'!$Q$2-'Mass Ion Calculations'!$C$16-'Mass Ion Calculations'!$C31-'Mass Ion Calculations'!$D$5,'Mass Ion Calculations'!$F$18+'AA Exact Masses'!$Q$2-'Mass Ion Calculations'!$E$17-'Mass Ion Calculations'!$E31-'Mass Ion Calculations'!$D$5),IF('Mass Ion Calculations'!$D$7="Yes", 'Mass Ion Calculations'!$D$15+'AA Exact Masses'!$Q$2-'Mass Ion Calculations'!$C$16-'Mass Ion Calculations'!$C31-'Mass Ion Calculations'!$D$5,'Mass Ion Calculations'!$F$15+'AA Exact Masses'!$Q$2-'Mass Ion Calculations'!$E$17-'Mass Ion Calculations'!$E31-'Mass Ion Calculations'!$D$5)))</f>
        <v/>
      </c>
      <c r="O30" s="3" t="str">
        <f>IF(OR($B30="",O$3=""),"",IF('Mass Ion Calculations'!$D$6="Yes",IF('Mass Ion Calculations'!$D$7="Yes",'Mass Ion Calculations'!$D$18+'AA Exact Masses'!$Q$2-'Mass Ion Calculations'!$C$17-'Mass Ion Calculations'!$C31-'Mass Ion Calculations'!$D$5,'Mass Ion Calculations'!$F$18+'AA Exact Masses'!$Q$2-'Mass Ion Calculations'!$E$18-'Mass Ion Calculations'!$E31-'Mass Ion Calculations'!$D$5),IF('Mass Ion Calculations'!$D$7="Yes", 'Mass Ion Calculations'!$D$15+'AA Exact Masses'!$Q$2-'Mass Ion Calculations'!$C$17-'Mass Ion Calculations'!$C31-'Mass Ion Calculations'!$D$5,'Mass Ion Calculations'!$F$15+'AA Exact Masses'!$Q$2-'Mass Ion Calculations'!$E$18-'Mass Ion Calculations'!$E31-'Mass Ion Calculations'!$D$5)))</f>
        <v/>
      </c>
      <c r="P30" s="3" t="str">
        <f>IF(OR($B30="",P$3=""),"",IF('Mass Ion Calculations'!$D$6="Yes",IF('Mass Ion Calculations'!$D$7="Yes",'Mass Ion Calculations'!$D$18+'AA Exact Masses'!$Q$2-'Mass Ion Calculations'!$C$18-'Mass Ion Calculations'!$C31-'Mass Ion Calculations'!$D$5,'Mass Ion Calculations'!$F$18+'AA Exact Masses'!$Q$2-'Mass Ion Calculations'!#REF!-'Mass Ion Calculations'!$E31-'Mass Ion Calculations'!$D$5),IF('Mass Ion Calculations'!$D$7="Yes", 'Mass Ion Calculations'!$D$15+'AA Exact Masses'!$Q$2-'Mass Ion Calculations'!$C$18-'Mass Ion Calculations'!$C31-'Mass Ion Calculations'!$D$5,'Mass Ion Calculations'!$F$15+'AA Exact Masses'!$Q$2-'Mass Ion Calculations'!#REF!-'Mass Ion Calculations'!$E31-'Mass Ion Calculations'!$D$5)))</f>
        <v/>
      </c>
      <c r="Q30" s="3" t="str">
        <f>IF(OR($B30="",Q$3=""),"",IF('Mass Ion Calculations'!$D$6="Yes",IF('Mass Ion Calculations'!$D$7="Yes",'Mass Ion Calculations'!$D$18+'AA Exact Masses'!$Q$2-'Mass Ion Calculations'!$C$19-'Mass Ion Calculations'!$C31-'Mass Ion Calculations'!$D$5,'Mass Ion Calculations'!$F$18+'AA Exact Masses'!$Q$2-'Mass Ion Calculations'!$E$19-'Mass Ion Calculations'!$E31-'Mass Ion Calculations'!$D$5),IF('Mass Ion Calculations'!$D$7="Yes", 'Mass Ion Calculations'!$D$15+'AA Exact Masses'!$Q$2-'Mass Ion Calculations'!$C$19-'Mass Ion Calculations'!$C31-'Mass Ion Calculations'!$D$5,'Mass Ion Calculations'!$F$15+'AA Exact Masses'!$Q$2-'Mass Ion Calculations'!$E$19-'Mass Ion Calculations'!$E31-'Mass Ion Calculations'!$D$5)))</f>
        <v/>
      </c>
      <c r="R30" s="3" t="str">
        <f>IF(OR($B30="",R$3=""),"",IF('Mass Ion Calculations'!$D$6="Yes",IF('Mass Ion Calculations'!$D$7="Yes",'Mass Ion Calculations'!$D$18+'AA Exact Masses'!$Q$2-'Mass Ion Calculations'!$C$20-'Mass Ion Calculations'!$C31-'Mass Ion Calculations'!$D$5,'Mass Ion Calculations'!$F$18+'AA Exact Masses'!$Q$2-'Mass Ion Calculations'!$E$20-'Mass Ion Calculations'!$E31-'Mass Ion Calculations'!$D$5),IF('Mass Ion Calculations'!$D$7="Yes", 'Mass Ion Calculations'!$D$15+'AA Exact Masses'!$Q$2-'Mass Ion Calculations'!$C$20-'Mass Ion Calculations'!$C31-'Mass Ion Calculations'!$D$5,'Mass Ion Calculations'!$F$15+'AA Exact Masses'!$Q$2-'Mass Ion Calculations'!$E$20-'Mass Ion Calculations'!$E31-'Mass Ion Calculations'!$D$5)))</f>
        <v/>
      </c>
      <c r="S30" s="3" t="str">
        <f>IF(OR($B30="",S$3=""),"",IF('Mass Ion Calculations'!$D$6="Yes",IF('Mass Ion Calculations'!$D$7="Yes",'Mass Ion Calculations'!$D$18+'AA Exact Masses'!$Q$2-'Mass Ion Calculations'!$C$21-'Mass Ion Calculations'!$C31-'Mass Ion Calculations'!$D$5,'Mass Ion Calculations'!$F$18+'AA Exact Masses'!$Q$2-'Mass Ion Calculations'!$E$21-'Mass Ion Calculations'!$E31-'Mass Ion Calculations'!$D$5),IF('Mass Ion Calculations'!$D$7="Yes", 'Mass Ion Calculations'!$D$15+'AA Exact Masses'!$Q$2-'Mass Ion Calculations'!$C$21-'Mass Ion Calculations'!$C31-'Mass Ion Calculations'!$D$5,'Mass Ion Calculations'!$F$15+'AA Exact Masses'!$Q$2-'Mass Ion Calculations'!$E$21-'Mass Ion Calculations'!$E31-'Mass Ion Calculations'!$D$5)))</f>
        <v/>
      </c>
      <c r="T30" s="3" t="str">
        <f>IF(OR($B30="",T$3=""),"",IF('Mass Ion Calculations'!$D$6="Yes",IF('Mass Ion Calculations'!$D$7="Yes",'Mass Ion Calculations'!$D$18+'AA Exact Masses'!$Q$2-'Mass Ion Calculations'!$C$22-'Mass Ion Calculations'!$C31-'Mass Ion Calculations'!$D$5,'Mass Ion Calculations'!$F$18+'AA Exact Masses'!$Q$2-'Mass Ion Calculations'!$E$22-'Mass Ion Calculations'!$E31-'Mass Ion Calculations'!$D$5),IF('Mass Ion Calculations'!$D$7="Yes", 'Mass Ion Calculations'!$D$15+'AA Exact Masses'!$Q$2-'Mass Ion Calculations'!$C$22-'Mass Ion Calculations'!$C31-'Mass Ion Calculations'!$D$5,'Mass Ion Calculations'!$F$15+'AA Exact Masses'!$Q$2-'Mass Ion Calculations'!$E$22-'Mass Ion Calculations'!$E31-'Mass Ion Calculations'!$D$5)))</f>
        <v/>
      </c>
      <c r="U30" s="3" t="str">
        <f>IF(OR($B30="",U$3=""),"",IF('Mass Ion Calculations'!$D$6="Yes",IF('Mass Ion Calculations'!$D$7="Yes",'Mass Ion Calculations'!$D$18+'AA Exact Masses'!$Q$2-'Mass Ion Calculations'!$C$23-'Mass Ion Calculations'!$C31-'Mass Ion Calculations'!$D$5,'Mass Ion Calculations'!$F$18+'AA Exact Masses'!$Q$2-'Mass Ion Calculations'!$E$23-'Mass Ion Calculations'!$E31-'Mass Ion Calculations'!$D$5),IF('Mass Ion Calculations'!$D$7="Yes", 'Mass Ion Calculations'!$D$15+'AA Exact Masses'!$Q$2-'Mass Ion Calculations'!$C$23-'Mass Ion Calculations'!$C31-'Mass Ion Calculations'!$D$5,'Mass Ion Calculations'!$F$15+'AA Exact Masses'!$Q$2-'Mass Ion Calculations'!$E$23-'Mass Ion Calculations'!$E31-'Mass Ion Calculations'!$D$5)))</f>
        <v/>
      </c>
      <c r="V30" s="3" t="str">
        <f>IF(OR($B30="",V$3=""),"",IF('Mass Ion Calculations'!$D$6="Yes",IF('Mass Ion Calculations'!$D$7="Yes",'Mass Ion Calculations'!$D$18+'AA Exact Masses'!$Q$2-'Mass Ion Calculations'!$C$24-'Mass Ion Calculations'!$C31-'Mass Ion Calculations'!$D$5,'Mass Ion Calculations'!$F$18+'AA Exact Masses'!$Q$2-'Mass Ion Calculations'!$E$24-'Mass Ion Calculations'!$E31-'Mass Ion Calculations'!$D$5),IF('Mass Ion Calculations'!$D$7="Yes", 'Mass Ion Calculations'!$D$15+'AA Exact Masses'!$Q$2-'Mass Ion Calculations'!$C$24-'Mass Ion Calculations'!$C31-'Mass Ion Calculations'!$D$5,'Mass Ion Calculations'!$F$15+'AA Exact Masses'!$Q$2-'Mass Ion Calculations'!$E$24-'Mass Ion Calculations'!$E31-'Mass Ion Calculations'!$D$5)))</f>
        <v/>
      </c>
      <c r="W30" s="3" t="str">
        <f>IF(OR($B30="",W$3=""),"",IF('Mass Ion Calculations'!$D$6="Yes",IF('Mass Ion Calculations'!$D$7="Yes",'Mass Ion Calculations'!$D$18+'AA Exact Masses'!$Q$2-'Mass Ion Calculations'!$C$25-'Mass Ion Calculations'!$C31-'Mass Ion Calculations'!$D$5,'Mass Ion Calculations'!$F$18+'AA Exact Masses'!$Q$2-'Mass Ion Calculations'!$E$25-'Mass Ion Calculations'!$E31-'Mass Ion Calculations'!$D$5),IF('Mass Ion Calculations'!$D$7="Yes", 'Mass Ion Calculations'!$D$15+'AA Exact Masses'!$Q$2-'Mass Ion Calculations'!$C$25-'Mass Ion Calculations'!$C31-'Mass Ion Calculations'!$D$5,'Mass Ion Calculations'!$F$15+'AA Exact Masses'!$Q$2-'Mass Ion Calculations'!$E$25-'Mass Ion Calculations'!$E31-'Mass Ion Calculations'!$D$5)))</f>
        <v/>
      </c>
      <c r="X30" s="3" t="str">
        <f>IF(OR($B30="",X$3=""),"",IF('Mass Ion Calculations'!$D$6="Yes",IF('Mass Ion Calculations'!$D$7="Yes",'Mass Ion Calculations'!$D$18+'AA Exact Masses'!$Q$2-'Mass Ion Calculations'!$C$26-'Mass Ion Calculations'!$C31-'Mass Ion Calculations'!$D$5,'Mass Ion Calculations'!$F$18+'AA Exact Masses'!$Q$2-'Mass Ion Calculations'!$E$26-'Mass Ion Calculations'!$E31-'Mass Ion Calculations'!$D$5),IF('Mass Ion Calculations'!$D$7="Yes", 'Mass Ion Calculations'!$D$15+'AA Exact Masses'!$Q$2-'Mass Ion Calculations'!$C$26-'Mass Ion Calculations'!$C31-'Mass Ion Calculations'!$D$5,'Mass Ion Calculations'!$F$15+'AA Exact Masses'!$Q$2-'Mass Ion Calculations'!$E$26-'Mass Ion Calculations'!$E31-'Mass Ion Calculations'!$D$5)))</f>
        <v/>
      </c>
      <c r="Y30" s="3" t="str">
        <f>IF(OR($B30="",Y$3=""),"",IF('Mass Ion Calculations'!$D$6="Yes",IF('Mass Ion Calculations'!$D$7="Yes",'Mass Ion Calculations'!$D$18+'AA Exact Masses'!$Q$2-'Mass Ion Calculations'!$C$27-'Mass Ion Calculations'!$C31-'Mass Ion Calculations'!$D$5,'Mass Ion Calculations'!$F$18+'AA Exact Masses'!$Q$2-'Mass Ion Calculations'!$E$27-'Mass Ion Calculations'!$E31-'Mass Ion Calculations'!$D$5),IF('Mass Ion Calculations'!$D$7="Yes", 'Mass Ion Calculations'!$D$15+'AA Exact Masses'!$Q$2-'Mass Ion Calculations'!$C$27-'Mass Ion Calculations'!$C31-'Mass Ion Calculations'!$D$5,'Mass Ion Calculations'!$F$15+'AA Exact Masses'!$Q$2-'Mass Ion Calculations'!$E$27-'Mass Ion Calculations'!$E31-'Mass Ion Calculations'!$D$5)))</f>
        <v/>
      </c>
      <c r="Z30" s="3" t="str">
        <f>IF(OR($B30="",Z$3=""),"",IF('Mass Ion Calculations'!$D$6="Yes",IF('Mass Ion Calculations'!$D$7="Yes",'Mass Ion Calculations'!$D$18+'AA Exact Masses'!$Q$2-'Mass Ion Calculations'!$C$28-'Mass Ion Calculations'!$C31-'Mass Ion Calculations'!$D$5,'Mass Ion Calculations'!$F$18+'AA Exact Masses'!$Q$2-'Mass Ion Calculations'!$E$2-'Mass Ion Calculations'!$E31-'Mass Ion Calculations'!$D$5),IF('Mass Ion Calculations'!$D$7="Yes", 'Mass Ion Calculations'!$D$15+'AA Exact Masses'!$Q$2-'Mass Ion Calculations'!$C$28-'Mass Ion Calculations'!$C31-'Mass Ion Calculations'!$D$5,'Mass Ion Calculations'!$F$15+'AA Exact Masses'!$Q$2-'Mass Ion Calculations'!$E$2-'Mass Ion Calculations'!$E31-'Mass Ion Calculations'!$D$5)))</f>
        <v/>
      </c>
    </row>
    <row r="31" spans="2:26" x14ac:dyDescent="0.25">
      <c r="C31" s="3" t="str">
        <f>IF(OR($B31="",C$3=""),"",IF('Mass Ion Calculations'!$D$6="Yes",IF('Mass Ion Calculations'!$D$7="Yes",'Mass Ion Calculations'!$D$18+'AA Exact Masses'!$Q$2-'Mass Ion Calculations'!$C$5-'Mass Ion Calculations'!$C32-'Mass Ion Calculations'!$D$5,'Mass Ion Calculations'!$F$18+'AA Exact Masses'!$Q$2-'Mass Ion Calculations'!C32-'Mass Ion Calculations'!C32-'Mass Ion Calculations'!$D$5),IF('Mass Ion Calculations'!$D$7="Yes", 'Mass Ion Calculations'!$D$15+'AA Exact Masses'!$Q$2-'Mass Ion Calculations'!$C$5-'Mass Ion Calculations'!$C32-'Mass Ion Calculations'!$D$5,'Mass Ion Calculations'!$F$15+'AA Exact Masses'!$Q$2-'Mass Ion Calculations'!C32-'Mass Ion Calculations'!C32-'Mass Ion Calculations'!$D$5)))</f>
        <v/>
      </c>
      <c r="D31" s="3" t="str">
        <f>IF(OR($B31="",D$3=""),"",IF('Mass Ion Calculations'!$D$6="Yes",IF('Mass Ion Calculations'!$D$7="Yes",'Mass Ion Calculations'!$D$18+'AA Exact Masses'!$Q$2-'Mass Ion Calculations'!$C$6-'Mass Ion Calculations'!$C32-'Mass Ion Calculations'!$D$5,'Mass Ion Calculations'!$F$18+'AA Exact Masses'!$Q$2-'Mass Ion Calculations'!C32-'Mass Ion Calculations'!C32-'Mass Ion Calculations'!$D$5),IF('Mass Ion Calculations'!$D$7="Yes", 'Mass Ion Calculations'!$D$15+'AA Exact Masses'!$Q$2-'Mass Ion Calculations'!$C$6-'Mass Ion Calculations'!$C32-'Mass Ion Calculations'!$D$5,'Mass Ion Calculations'!$F$15+'AA Exact Masses'!$Q$2-'Mass Ion Calculations'!C32-'Mass Ion Calculations'!C32-'Mass Ion Calculations'!$D$5)))</f>
        <v/>
      </c>
      <c r="E31" s="3" t="str">
        <f>IF(OR($B31="",E$3=""),"",IF('Mass Ion Calculations'!$D$6="Yes",IF('Mass Ion Calculations'!$D$7="Yes",'Mass Ion Calculations'!$D$18+'AA Exact Masses'!$Q$2-'Mass Ion Calculations'!$C$7-'Mass Ion Calculations'!$C32-'Mass Ion Calculations'!$D$5,'Mass Ion Calculations'!$F$18+'AA Exact Masses'!$Q$2-'Mass Ion Calculations'!$C$7-'Mass Ion Calculations'!$C32-'Mass Ion Calculations'!$D$5),IF('Mass Ion Calculations'!$D$7="Yes", 'Mass Ion Calculations'!$D$15+'AA Exact Masses'!$Q$2-'Mass Ion Calculations'!$C$7-'Mass Ion Calculations'!$C32-'Mass Ion Calculations'!$D$5,'Mass Ion Calculations'!$F$15+'AA Exact Masses'!$Q$2-'Mass Ion Calculations'!$C$7-'Mass Ion Calculations'!$C32-'Mass Ion Calculations'!$D$5)))</f>
        <v/>
      </c>
      <c r="F31" s="3" t="str">
        <f>IF(OR($B31="",F$3=""),"",IF('Mass Ion Calculations'!$D$6="Yes",IF('Mass Ion Calculations'!$D$7="Yes",'Mass Ion Calculations'!$D$18+'AA Exact Masses'!$Q$2-'Mass Ion Calculations'!$C$8-'Mass Ion Calculations'!$C32-'Mass Ion Calculations'!$D$5,'Mass Ion Calculations'!$F$18+'AA Exact Masses'!$Q$2-'Mass Ion Calculations'!$C$8-'Mass Ion Calculations'!$C32-'Mass Ion Calculations'!$D$5),IF('Mass Ion Calculations'!$D$7="Yes", 'Mass Ion Calculations'!$D$15+'AA Exact Masses'!$Q$2-'Mass Ion Calculations'!$C$8-'Mass Ion Calculations'!$C32-'Mass Ion Calculations'!$D$5,'Mass Ion Calculations'!$F$15+'AA Exact Masses'!$Q$2-'Mass Ion Calculations'!$C$8-'Mass Ion Calculations'!$C32-'Mass Ion Calculations'!$D$5)))</f>
        <v/>
      </c>
      <c r="G31" s="3" t="str">
        <f>IF(OR($B31="",G$3=""),"",IF('Mass Ion Calculations'!$D$6="Yes",IF('Mass Ion Calculations'!$D$7="Yes",'Mass Ion Calculations'!$D$18+'AA Exact Masses'!$Q$2-'Mass Ion Calculations'!$C$9-'Mass Ion Calculations'!$C32-'Mass Ion Calculations'!$D$5,'Mass Ion Calculations'!$F$18+'AA Exact Masses'!$Q$2-'Mass Ion Calculations'!$C$9-'Mass Ion Calculations'!$C32-'Mass Ion Calculations'!$D$5),IF('Mass Ion Calculations'!$D$7="Yes", 'Mass Ion Calculations'!$D$15+'AA Exact Masses'!$Q$2-'Mass Ion Calculations'!$C$9-'Mass Ion Calculations'!$C32-'Mass Ion Calculations'!$D$5,'Mass Ion Calculations'!$F$15+'AA Exact Masses'!$Q$2-'Mass Ion Calculations'!$C$9-'Mass Ion Calculations'!$C32-'Mass Ion Calculations'!$D$5)))</f>
        <v/>
      </c>
      <c r="H31" s="3" t="str">
        <f>IF(OR($B31="",H$3=""),"",IF('Mass Ion Calculations'!$D$6="Yes",IF('Mass Ion Calculations'!$D$7="Yes",'Mass Ion Calculations'!$D$18+'AA Exact Masses'!$Q$2-'Mass Ion Calculations'!$C$10-'Mass Ion Calculations'!$C32-'Mass Ion Calculations'!$D$5,'Mass Ion Calculations'!$F$18+'AA Exact Masses'!$Q$2-'Mass Ion Calculations'!$C$10-'Mass Ion Calculations'!$C32-'Mass Ion Calculations'!$D$5),IF('Mass Ion Calculations'!$D$7="Yes", 'Mass Ion Calculations'!$D$15+'AA Exact Masses'!$Q$2-'Mass Ion Calculations'!$C$10-'Mass Ion Calculations'!$C32-'Mass Ion Calculations'!$D$5,'Mass Ion Calculations'!$F$15+'AA Exact Masses'!$Q$2-'Mass Ion Calculations'!$C$10-'Mass Ion Calculations'!$C32-'Mass Ion Calculations'!$D$5)))</f>
        <v/>
      </c>
      <c r="I31" s="3" t="str">
        <f>IF(OR($B31="",I$3=""),"",IF('Mass Ion Calculations'!$D$6="Yes",IF('Mass Ion Calculations'!$D$7="Yes",'Mass Ion Calculations'!$D$18+'AA Exact Masses'!$Q$2-'Mass Ion Calculations'!$C$11-'Mass Ion Calculations'!$C32-'Mass Ion Calculations'!$D$5,'Mass Ion Calculations'!$F$18+'AA Exact Masses'!$Q$2-'Mass Ion Calculations'!$C$11-'Mass Ion Calculations'!$C32-'Mass Ion Calculations'!$D$5),IF('Mass Ion Calculations'!$D$7="Yes", 'Mass Ion Calculations'!$D$15+'AA Exact Masses'!$Q$2-'Mass Ion Calculations'!$C$11-'Mass Ion Calculations'!$C32-'Mass Ion Calculations'!$D$5,'Mass Ion Calculations'!$F$15+'AA Exact Masses'!$Q$2-'Mass Ion Calculations'!$C$11-'Mass Ion Calculations'!$C32-'Mass Ion Calculations'!$D$5)))</f>
        <v/>
      </c>
      <c r="J31" s="3" t="str">
        <f>IF(OR($B31="",J$3=""),"",IF('Mass Ion Calculations'!$D$6="Yes",IF('Mass Ion Calculations'!$D$7="Yes",'Mass Ion Calculations'!$D$18+'AA Exact Masses'!$Q$2-'Mass Ion Calculations'!$C$12-'Mass Ion Calculations'!$C32-'Mass Ion Calculations'!$D$5,'Mass Ion Calculations'!$F$18+'AA Exact Masses'!$Q$2-'Mass Ion Calculations'!$C$12-'Mass Ion Calculations'!$C32-'Mass Ion Calculations'!$D$5),IF('Mass Ion Calculations'!$D$7="Yes", 'Mass Ion Calculations'!$D$15+'AA Exact Masses'!$Q$2-'Mass Ion Calculations'!$C$12-'Mass Ion Calculations'!$C32-'Mass Ion Calculations'!$D$5,'Mass Ion Calculations'!$F$15+'AA Exact Masses'!$Q$2-'Mass Ion Calculations'!$C$12-'Mass Ion Calculations'!$C32-'Mass Ion Calculations'!$D$5)))</f>
        <v/>
      </c>
      <c r="K31" s="3" t="str">
        <f>IF(OR($B31="",K$3=""),"",IF('Mass Ion Calculations'!$D$6="Yes",IF('Mass Ion Calculations'!$D$7="Yes",'Mass Ion Calculations'!$D$18+'AA Exact Masses'!$Q$2-'Mass Ion Calculations'!$C$13-'Mass Ion Calculations'!$C32-'Mass Ion Calculations'!$D$5,'Mass Ion Calculations'!$F$18+'AA Exact Masses'!$Q$2-'Mass Ion Calculations'!$C$13-'Mass Ion Calculations'!$C32-'Mass Ion Calculations'!$D$5),IF('Mass Ion Calculations'!$D$7="Yes", 'Mass Ion Calculations'!$D$15+'AA Exact Masses'!$Q$2-'Mass Ion Calculations'!$C$13-'Mass Ion Calculations'!$C32-'Mass Ion Calculations'!$D$5,'Mass Ion Calculations'!$F$15+'AA Exact Masses'!$Q$2-'Mass Ion Calculations'!$C$13-'Mass Ion Calculations'!$C32-'Mass Ion Calculations'!$D$5)))</f>
        <v/>
      </c>
      <c r="L31" s="3" t="str">
        <f>IF(OR($B31="",L$3=""),"",IF('Mass Ion Calculations'!$D$6="Yes",IF('Mass Ion Calculations'!$D$7="Yes",'Mass Ion Calculations'!$D$18+'AA Exact Masses'!$Q$2-'Mass Ion Calculations'!$C$14-'Mass Ion Calculations'!$C32-'Mass Ion Calculations'!$D$5,'Mass Ion Calculations'!$F$18+'AA Exact Masses'!$Q$2-'Mass Ion Calculations'!$C$14-'Mass Ion Calculations'!$C32-'Mass Ion Calculations'!$D$5),IF('Mass Ion Calculations'!$D$7="Yes", 'Mass Ion Calculations'!$D$15+'AA Exact Masses'!$Q$2-'Mass Ion Calculations'!$C$14-'Mass Ion Calculations'!$C32-'Mass Ion Calculations'!$D$5,'Mass Ion Calculations'!$F$15+'AA Exact Masses'!$Q$2-'Mass Ion Calculations'!$C$14-'Mass Ion Calculations'!$C32-'Mass Ion Calculations'!$D$5)))</f>
        <v/>
      </c>
      <c r="M31" s="3" t="str">
        <f>IF(OR($B31="",M$3=""),"",IF('Mass Ion Calculations'!$D$6="Yes",IF('Mass Ion Calculations'!$D$7="Yes",'Mass Ion Calculations'!$D$18+'AA Exact Masses'!$Q$2-'Mass Ion Calculations'!$C$15-'Mass Ion Calculations'!$C32-'Mass Ion Calculations'!$D$5,'Mass Ion Calculations'!$F$18+'AA Exact Masses'!$Q$2-'Mass Ion Calculations'!$C$15-'Mass Ion Calculations'!$C32-'Mass Ion Calculations'!$D$5),IF('Mass Ion Calculations'!$D$7="Yes", 'Mass Ion Calculations'!$D$15+'AA Exact Masses'!$Q$2-'Mass Ion Calculations'!$C$15-'Mass Ion Calculations'!$C32-'Mass Ion Calculations'!$D$5,'Mass Ion Calculations'!$F$15+'AA Exact Masses'!$Q$2-'Mass Ion Calculations'!$C$15-'Mass Ion Calculations'!$C32-'Mass Ion Calculations'!$D$5)))</f>
        <v/>
      </c>
      <c r="N31" s="3" t="str">
        <f>IF(OR($B31="",N$3=""),"",IF('Mass Ion Calculations'!$D$6="Yes",IF('Mass Ion Calculations'!$D$7="Yes",'Mass Ion Calculations'!$D$18+'AA Exact Masses'!$Q$2-'Mass Ion Calculations'!$C$16-'Mass Ion Calculations'!$C32-'Mass Ion Calculations'!$D$5,'Mass Ion Calculations'!$F$18+'AA Exact Masses'!$Q$2-'Mass Ion Calculations'!$C$16-'Mass Ion Calculations'!$C32-'Mass Ion Calculations'!$D$5),IF('Mass Ion Calculations'!$D$7="Yes", 'Mass Ion Calculations'!$D$15+'AA Exact Masses'!$Q$2-'Mass Ion Calculations'!$C$16-'Mass Ion Calculations'!$C32-'Mass Ion Calculations'!$D$5,'Mass Ion Calculations'!$F$15+'AA Exact Masses'!$Q$2-'Mass Ion Calculations'!$C$16-'Mass Ion Calculations'!$C32-'Mass Ion Calculations'!$D$5)))</f>
        <v/>
      </c>
      <c r="O31" s="3" t="str">
        <f>IF(OR($B31="",O$3=""),"",IF('Mass Ion Calculations'!$D$6="Yes",IF('Mass Ion Calculations'!$D$7="Yes",'Mass Ion Calculations'!$D$18+'AA Exact Masses'!$Q$2-'Mass Ion Calculations'!$C$17-'Mass Ion Calculations'!$C32-'Mass Ion Calculations'!$D$5,'Mass Ion Calculations'!$F$18+'AA Exact Masses'!$Q$2-'Mass Ion Calculations'!$C$17-'Mass Ion Calculations'!$C32-'Mass Ion Calculations'!$D$5),IF('Mass Ion Calculations'!$D$7="Yes", 'Mass Ion Calculations'!$D$15+'AA Exact Masses'!$Q$2-'Mass Ion Calculations'!$C$17-'Mass Ion Calculations'!$C32-'Mass Ion Calculations'!$D$5,'Mass Ion Calculations'!$F$15+'AA Exact Masses'!$Q$2-'Mass Ion Calculations'!$C$17-'Mass Ion Calculations'!$C32-'Mass Ion Calculations'!$D$5)))</f>
        <v/>
      </c>
      <c r="P31" s="3" t="str">
        <f>IF(OR($B31="",P$3=""),"",IF('Mass Ion Calculations'!$D$6="Yes",IF('Mass Ion Calculations'!$D$7="Yes",'Mass Ion Calculations'!$D$18+'AA Exact Masses'!$Q$2-'Mass Ion Calculations'!$C$18-'Mass Ion Calculations'!$C32-'Mass Ion Calculations'!$D$5,'Mass Ion Calculations'!$F$18+'AA Exact Masses'!$Q$2-'Mass Ion Calculations'!$C$18-'Mass Ion Calculations'!$C32-'Mass Ion Calculations'!$D$5),IF('Mass Ion Calculations'!$D$7="Yes", 'Mass Ion Calculations'!$D$15+'AA Exact Masses'!$Q$2-'Mass Ion Calculations'!$C$18-'Mass Ion Calculations'!$C32-'Mass Ion Calculations'!$D$5,'Mass Ion Calculations'!$F$15+'AA Exact Masses'!$Q$2-'Mass Ion Calculations'!$C$18-'Mass Ion Calculations'!$C32-'Mass Ion Calculations'!$D$5)))</f>
        <v/>
      </c>
      <c r="Q31" s="3" t="str">
        <f>IF(OR($B31="",Q$3=""),"",IF('Mass Ion Calculations'!$D$6="Yes",IF('Mass Ion Calculations'!$D$7="Yes",'Mass Ion Calculations'!$D$18+'AA Exact Masses'!$Q$2-'Mass Ion Calculations'!$C$19-'Mass Ion Calculations'!$C32-'Mass Ion Calculations'!$D$5,'Mass Ion Calculations'!$F$18+'AA Exact Masses'!$Q$2-'Mass Ion Calculations'!$C$19-'Mass Ion Calculations'!$C32-'Mass Ion Calculations'!$D$5),IF('Mass Ion Calculations'!$D$7="Yes", 'Mass Ion Calculations'!$D$15+'AA Exact Masses'!$Q$2-'Mass Ion Calculations'!$C$19-'Mass Ion Calculations'!$C32-'Mass Ion Calculations'!$D$5,'Mass Ion Calculations'!$F$15+'AA Exact Masses'!$Q$2-'Mass Ion Calculations'!$C$19-'Mass Ion Calculations'!$C32-'Mass Ion Calculations'!$D$5)))</f>
        <v/>
      </c>
      <c r="R31" s="3" t="str">
        <f>IF(OR($B31="",R$3=""),"",IF('Mass Ion Calculations'!$D$6="Yes",IF('Mass Ion Calculations'!$D$7="Yes",'Mass Ion Calculations'!$D$18+'AA Exact Masses'!$Q$2-'Mass Ion Calculations'!$C$20-'Mass Ion Calculations'!$C32-'Mass Ion Calculations'!$D$5,'Mass Ion Calculations'!$F$18+'AA Exact Masses'!$Q$2-'Mass Ion Calculations'!$C$20-'Mass Ion Calculations'!$C32-'Mass Ion Calculations'!$D$5),IF('Mass Ion Calculations'!$D$7="Yes", 'Mass Ion Calculations'!$D$15+'AA Exact Masses'!$Q$2-'Mass Ion Calculations'!$C$20-'Mass Ion Calculations'!$C32-'Mass Ion Calculations'!$D$5,'Mass Ion Calculations'!$F$15+'AA Exact Masses'!$Q$2-'Mass Ion Calculations'!$C$20-'Mass Ion Calculations'!$C32-'Mass Ion Calculations'!$D$5)))</f>
        <v/>
      </c>
      <c r="S31" s="3" t="str">
        <f>IF(OR($B31="",S$3=""),"",IF('Mass Ion Calculations'!$D$6="Yes",IF('Mass Ion Calculations'!$D$7="Yes",'Mass Ion Calculations'!$D$18+'AA Exact Masses'!$Q$2-'Mass Ion Calculations'!$C$21-'Mass Ion Calculations'!$C32-'Mass Ion Calculations'!$D$5,'Mass Ion Calculations'!$F$18+'AA Exact Masses'!$Q$2-'Mass Ion Calculations'!$C$21-'Mass Ion Calculations'!$C32-'Mass Ion Calculations'!$D$5),IF('Mass Ion Calculations'!$D$7="Yes", 'Mass Ion Calculations'!$D$15+'AA Exact Masses'!$Q$2-'Mass Ion Calculations'!$C$21-'Mass Ion Calculations'!$C32-'Mass Ion Calculations'!$D$5,'Mass Ion Calculations'!$F$15+'AA Exact Masses'!$Q$2-'Mass Ion Calculations'!$C$21-'Mass Ion Calculations'!$C32-'Mass Ion Calculations'!$D$5)))</f>
        <v/>
      </c>
      <c r="T31" s="3" t="str">
        <f>IF(OR($B31="",T$3=""),"",IF('Mass Ion Calculations'!$D$6="Yes",IF('Mass Ion Calculations'!$D$7="Yes",'Mass Ion Calculations'!$D$18+'AA Exact Masses'!$Q$2-'Mass Ion Calculations'!$C$22-'Mass Ion Calculations'!$C32-'Mass Ion Calculations'!$D$5,'Mass Ion Calculations'!$F$18+'AA Exact Masses'!$Q$2-'Mass Ion Calculations'!$C$22-'Mass Ion Calculations'!$C32-'Mass Ion Calculations'!$D$5),IF('Mass Ion Calculations'!$D$7="Yes", 'Mass Ion Calculations'!$D$15+'AA Exact Masses'!$Q$2-'Mass Ion Calculations'!$C$22-'Mass Ion Calculations'!$C32-'Mass Ion Calculations'!$D$5,'Mass Ion Calculations'!$F$15+'AA Exact Masses'!$Q$2-'Mass Ion Calculations'!$C$22-'Mass Ion Calculations'!$C32-'Mass Ion Calculations'!$D$5)))</f>
        <v/>
      </c>
      <c r="U31" s="3" t="str">
        <f>IF(OR($B31="",U$3=""),"",IF('Mass Ion Calculations'!$D$6="Yes",IF('Mass Ion Calculations'!$D$7="Yes",'Mass Ion Calculations'!$D$18+'AA Exact Masses'!$Q$2-'Mass Ion Calculations'!$C$23-'Mass Ion Calculations'!$C32-'Mass Ion Calculations'!$D$5,'Mass Ion Calculations'!$F$18+'AA Exact Masses'!$Q$2-'Mass Ion Calculations'!$C$23-'Mass Ion Calculations'!$C32-'Mass Ion Calculations'!$D$5),IF('Mass Ion Calculations'!$D$7="Yes", 'Mass Ion Calculations'!$D$15+'AA Exact Masses'!$Q$2-'Mass Ion Calculations'!$C$23-'Mass Ion Calculations'!$C32-'Mass Ion Calculations'!$D$5,'Mass Ion Calculations'!$F$15+'AA Exact Masses'!$Q$2-'Mass Ion Calculations'!$C$23-'Mass Ion Calculations'!$C32-'Mass Ion Calculations'!$D$5)))</f>
        <v/>
      </c>
      <c r="V31" s="3" t="str">
        <f>IF(OR($B31="",V$3=""),"",IF('Mass Ion Calculations'!$D$6="Yes",IF('Mass Ion Calculations'!$D$7="Yes",'Mass Ion Calculations'!$D$18+'AA Exact Masses'!$Q$2-'Mass Ion Calculations'!$C$24-'Mass Ion Calculations'!$C32-'Mass Ion Calculations'!$D$5,'Mass Ion Calculations'!$F$18+'AA Exact Masses'!$Q$2-'Mass Ion Calculations'!$C$24-'Mass Ion Calculations'!$C32-'Mass Ion Calculations'!$D$5),IF('Mass Ion Calculations'!$D$7="Yes", 'Mass Ion Calculations'!$D$15+'AA Exact Masses'!$Q$2-'Mass Ion Calculations'!$C$24-'Mass Ion Calculations'!$C32-'Mass Ion Calculations'!$D$5,'Mass Ion Calculations'!$F$15+'AA Exact Masses'!$Q$2-'Mass Ion Calculations'!$C$24-'Mass Ion Calculations'!$C32-'Mass Ion Calculations'!$D$5)))</f>
        <v/>
      </c>
      <c r="W31" s="3" t="str">
        <f>IF(OR($B31="",W$3=""),"",IF('Mass Ion Calculations'!$D$6="Yes",IF('Mass Ion Calculations'!$D$7="Yes",'Mass Ion Calculations'!$D$18+'AA Exact Masses'!$Q$2-'Mass Ion Calculations'!$C$25-'Mass Ion Calculations'!$C32-'Mass Ion Calculations'!$D$5,'Mass Ion Calculations'!$F$18+'AA Exact Masses'!$Q$2-'Mass Ion Calculations'!$C$25-'Mass Ion Calculations'!$C32-'Mass Ion Calculations'!$D$5),IF('Mass Ion Calculations'!$D$7="Yes", 'Mass Ion Calculations'!$D$15+'AA Exact Masses'!$Q$2-'Mass Ion Calculations'!$C$25-'Mass Ion Calculations'!$C32-'Mass Ion Calculations'!$D$5,'Mass Ion Calculations'!$F$15+'AA Exact Masses'!$Q$2-'Mass Ion Calculations'!$C$25-'Mass Ion Calculations'!$C32-'Mass Ion Calculations'!$D$5)))</f>
        <v/>
      </c>
      <c r="X31" s="3" t="str">
        <f>IF(OR($B31="",X$3=""),"",IF('Mass Ion Calculations'!$D$6="Yes",IF('Mass Ion Calculations'!$D$7="Yes",'Mass Ion Calculations'!$D$18+'AA Exact Masses'!$Q$2-'Mass Ion Calculations'!$C$26-'Mass Ion Calculations'!$C32-'Mass Ion Calculations'!$D$5,'Mass Ion Calculations'!$F$18+'AA Exact Masses'!$Q$2-'Mass Ion Calculations'!$C$26-'Mass Ion Calculations'!$C32-'Mass Ion Calculations'!$D$5),IF('Mass Ion Calculations'!$D$7="Yes", 'Mass Ion Calculations'!$D$15+'AA Exact Masses'!$Q$2-'Mass Ion Calculations'!$C$26-'Mass Ion Calculations'!$C32-'Mass Ion Calculations'!$D$5,'Mass Ion Calculations'!$F$15+'AA Exact Masses'!$Q$2-'Mass Ion Calculations'!$C$26-'Mass Ion Calculations'!$C32-'Mass Ion Calculations'!$D$5)))</f>
        <v/>
      </c>
      <c r="Y31" s="3" t="str">
        <f>IF(OR($B31="",Y$3=""),"",IF('Mass Ion Calculations'!$D$6="Yes",('Mass Ion Calculations'!$D$15+'AA Exact Masses'!$Q$2-'Mass Ion Calculations'!$C$7-'Mass Ion Calculations'!$C32-'Mass Ion Calculations'!$D$5-18.01),('Mass Ion Calculations'!$D$15+'AA Exact Masses'!$Q$2-'Mass Ion Calculations'!$C$7-'Mass Ion Calculations'!$C32-'Mass Ion Calculations'!$D$5)))</f>
        <v/>
      </c>
      <c r="Z31" s="3" t="str">
        <f>IF(OR($B31="",Z$3=""),"",IF('Mass Ion Calculations'!$D$6="Yes",('Mass Ion Calculations'!$D$15+'AA Exact Masses'!$Q$2-'Mass Ion Calculations'!$C$7-'Mass Ion Calculations'!$C32-'Mass Ion Calculations'!$D$5-18.01),('Mass Ion Calculations'!$D$15+'AA Exact Masses'!$Q$2-'Mass Ion Calculations'!$C$7-'Mass Ion Calculations'!$C32-'Mass Ion Calculations'!$D$5)))</f>
        <v/>
      </c>
    </row>
    <row r="32" spans="2:26" x14ac:dyDescent="0.25">
      <c r="C32" s="3" t="str">
        <f>IF(OR($B32="",C$3=""),"",IF('Mass Ion Calculations'!$D$6="Yes",IF('Mass Ion Calculations'!$D$7="Yes",'Mass Ion Calculations'!$D$18+'AA Exact Masses'!$Q$2-'Mass Ion Calculations'!$C$5-'Mass Ion Calculations'!$C33-'Mass Ion Calculations'!$D$5,'Mass Ion Calculations'!$F$18+'AA Exact Masses'!$Q$2-'Mass Ion Calculations'!C33-'Mass Ion Calculations'!C33-'Mass Ion Calculations'!$D$5),IF('Mass Ion Calculations'!$D$7="Yes", 'Mass Ion Calculations'!$D$15+'AA Exact Masses'!$Q$2-'Mass Ion Calculations'!$C$5-'Mass Ion Calculations'!$C33-'Mass Ion Calculations'!$D$5,'Mass Ion Calculations'!$F$15+'AA Exact Masses'!$Q$2-'Mass Ion Calculations'!C33-'Mass Ion Calculations'!C33-'Mass Ion Calculations'!$D$5)))</f>
        <v/>
      </c>
      <c r="D32" s="3" t="str">
        <f>IF(OR($B32="",D$3=""),"",IF('Mass Ion Calculations'!$D$6="Yes",IF('Mass Ion Calculations'!$D$7="Yes",'Mass Ion Calculations'!$D$18+'AA Exact Masses'!$Q$2-'Mass Ion Calculations'!$C$6-'Mass Ion Calculations'!$C33-'Mass Ion Calculations'!$D$5,'Mass Ion Calculations'!$F$18+'AA Exact Masses'!$Q$2-'Mass Ion Calculations'!C33-'Mass Ion Calculations'!C33-'Mass Ion Calculations'!$D$5),IF('Mass Ion Calculations'!$D$7="Yes", 'Mass Ion Calculations'!$D$15+'AA Exact Masses'!$Q$2-'Mass Ion Calculations'!$C$6-'Mass Ion Calculations'!$C33-'Mass Ion Calculations'!$D$5,'Mass Ion Calculations'!$F$15+'AA Exact Masses'!$Q$2-'Mass Ion Calculations'!C33-'Mass Ion Calculations'!C33-'Mass Ion Calculations'!$D$5)))</f>
        <v/>
      </c>
      <c r="E32" s="3" t="str">
        <f>IF(OR($B32="",E$3=""),"",IF('Mass Ion Calculations'!$D$6="Yes",IF('Mass Ion Calculations'!$D$7="Yes",'Mass Ion Calculations'!$D$18+'AA Exact Masses'!$Q$2-'Mass Ion Calculations'!$C$7-'Mass Ion Calculations'!$C33-'Mass Ion Calculations'!$D$5,'Mass Ion Calculations'!$F$18+'AA Exact Masses'!$Q$2-'Mass Ion Calculations'!$C$7-'Mass Ion Calculations'!$C33-'Mass Ion Calculations'!$D$5),IF('Mass Ion Calculations'!$D$7="Yes", 'Mass Ion Calculations'!$D$15+'AA Exact Masses'!$Q$2-'Mass Ion Calculations'!$C$7-'Mass Ion Calculations'!$C33-'Mass Ion Calculations'!$D$5,'Mass Ion Calculations'!$F$15+'AA Exact Masses'!$Q$2-'Mass Ion Calculations'!$C$7-'Mass Ion Calculations'!$C33-'Mass Ion Calculations'!$D$5)))</f>
        <v/>
      </c>
      <c r="F32" s="3" t="str">
        <f>IF(OR($B32="",F$3=""),"",IF('Mass Ion Calculations'!$D$6="Yes",IF('Mass Ion Calculations'!$D$7="Yes",'Mass Ion Calculations'!$D$18+'AA Exact Masses'!$Q$2-'Mass Ion Calculations'!$C$8-'Mass Ion Calculations'!$C33-'Mass Ion Calculations'!$D$5,'Mass Ion Calculations'!$F$18+'AA Exact Masses'!$Q$2-'Mass Ion Calculations'!$C$8-'Mass Ion Calculations'!$C33-'Mass Ion Calculations'!$D$5),IF('Mass Ion Calculations'!$D$7="Yes", 'Mass Ion Calculations'!$D$15+'AA Exact Masses'!$Q$2-'Mass Ion Calculations'!$C$8-'Mass Ion Calculations'!$C33-'Mass Ion Calculations'!$D$5,'Mass Ion Calculations'!$F$15+'AA Exact Masses'!$Q$2-'Mass Ion Calculations'!$C$8-'Mass Ion Calculations'!$C33-'Mass Ion Calculations'!$D$5)))</f>
        <v/>
      </c>
      <c r="G32" s="3" t="str">
        <f>IF(OR($B32="",G$3=""),"",IF('Mass Ion Calculations'!$D$6="Yes",IF('Mass Ion Calculations'!$D$7="Yes",'Mass Ion Calculations'!$D$18+'AA Exact Masses'!$Q$2-'Mass Ion Calculations'!$C$9-'Mass Ion Calculations'!$C33-'Mass Ion Calculations'!$D$5,'Mass Ion Calculations'!$F$18+'AA Exact Masses'!$Q$2-'Mass Ion Calculations'!$C$9-'Mass Ion Calculations'!$C33-'Mass Ion Calculations'!$D$5),IF('Mass Ion Calculations'!$D$7="Yes", 'Mass Ion Calculations'!$D$15+'AA Exact Masses'!$Q$2-'Mass Ion Calculations'!$C$9-'Mass Ion Calculations'!$C33-'Mass Ion Calculations'!$D$5,'Mass Ion Calculations'!$F$15+'AA Exact Masses'!$Q$2-'Mass Ion Calculations'!$C$9-'Mass Ion Calculations'!$C33-'Mass Ion Calculations'!$D$5)))</f>
        <v/>
      </c>
      <c r="H32" s="3" t="str">
        <f>IF(OR($B32="",H$3=""),"",IF('Mass Ion Calculations'!$D$6="Yes",IF('Mass Ion Calculations'!$D$7="Yes",'Mass Ion Calculations'!$D$18+'AA Exact Masses'!$Q$2-'Mass Ion Calculations'!$C$10-'Mass Ion Calculations'!$C33-'Mass Ion Calculations'!$D$5,'Mass Ion Calculations'!$F$18+'AA Exact Masses'!$Q$2-'Mass Ion Calculations'!$C$10-'Mass Ion Calculations'!$C33-'Mass Ion Calculations'!$D$5),IF('Mass Ion Calculations'!$D$7="Yes", 'Mass Ion Calculations'!$D$15+'AA Exact Masses'!$Q$2-'Mass Ion Calculations'!$C$10-'Mass Ion Calculations'!$C33-'Mass Ion Calculations'!$D$5,'Mass Ion Calculations'!$F$15+'AA Exact Masses'!$Q$2-'Mass Ion Calculations'!$C$10-'Mass Ion Calculations'!$C33-'Mass Ion Calculations'!$D$5)))</f>
        <v/>
      </c>
      <c r="I32" s="3" t="str">
        <f>IF(OR($B32="",I$3=""),"",IF('Mass Ion Calculations'!$D$6="Yes",IF('Mass Ion Calculations'!$D$7="Yes",'Mass Ion Calculations'!$D$18+'AA Exact Masses'!$Q$2-'Mass Ion Calculations'!$C$11-'Mass Ion Calculations'!$C33-'Mass Ion Calculations'!$D$5,'Mass Ion Calculations'!$F$18+'AA Exact Masses'!$Q$2-'Mass Ion Calculations'!$C$11-'Mass Ion Calculations'!$C33-'Mass Ion Calculations'!$D$5),IF('Mass Ion Calculations'!$D$7="Yes", 'Mass Ion Calculations'!$D$15+'AA Exact Masses'!$Q$2-'Mass Ion Calculations'!$C$11-'Mass Ion Calculations'!$C33-'Mass Ion Calculations'!$D$5,'Mass Ion Calculations'!$F$15+'AA Exact Masses'!$Q$2-'Mass Ion Calculations'!$C$11-'Mass Ion Calculations'!$C33-'Mass Ion Calculations'!$D$5)))</f>
        <v/>
      </c>
      <c r="J32" s="3" t="str">
        <f>IF(OR($B32="",J$3=""),"",IF('Mass Ion Calculations'!$D$6="Yes",IF('Mass Ion Calculations'!$D$7="Yes",'Mass Ion Calculations'!$D$18+'AA Exact Masses'!$Q$2-'Mass Ion Calculations'!$C$12-'Mass Ion Calculations'!$C33-'Mass Ion Calculations'!$D$5,'Mass Ion Calculations'!$F$18+'AA Exact Masses'!$Q$2-'Mass Ion Calculations'!$C$12-'Mass Ion Calculations'!$C33-'Mass Ion Calculations'!$D$5),IF('Mass Ion Calculations'!$D$7="Yes", 'Mass Ion Calculations'!$D$15+'AA Exact Masses'!$Q$2-'Mass Ion Calculations'!$C$12-'Mass Ion Calculations'!$C33-'Mass Ion Calculations'!$D$5,'Mass Ion Calculations'!$F$15+'AA Exact Masses'!$Q$2-'Mass Ion Calculations'!$C$12-'Mass Ion Calculations'!$C33-'Mass Ion Calculations'!$D$5)))</f>
        <v/>
      </c>
      <c r="K32" s="3" t="str">
        <f>IF(OR($B32="",K$3=""),"",IF('Mass Ion Calculations'!$D$6="Yes",IF('Mass Ion Calculations'!$D$7="Yes",'Mass Ion Calculations'!$D$18+'AA Exact Masses'!$Q$2-'Mass Ion Calculations'!$C$13-'Mass Ion Calculations'!$C33-'Mass Ion Calculations'!$D$5,'Mass Ion Calculations'!$F$18+'AA Exact Masses'!$Q$2-'Mass Ion Calculations'!$C$13-'Mass Ion Calculations'!$C33-'Mass Ion Calculations'!$D$5),IF('Mass Ion Calculations'!$D$7="Yes", 'Mass Ion Calculations'!$D$15+'AA Exact Masses'!$Q$2-'Mass Ion Calculations'!$C$13-'Mass Ion Calculations'!$C33-'Mass Ion Calculations'!$D$5,'Mass Ion Calculations'!$F$15+'AA Exact Masses'!$Q$2-'Mass Ion Calculations'!$C$13-'Mass Ion Calculations'!$C33-'Mass Ion Calculations'!$D$5)))</f>
        <v/>
      </c>
      <c r="L32" s="3" t="str">
        <f>IF(OR($B32="",L$3=""),"",IF('Mass Ion Calculations'!$D$6="Yes",IF('Mass Ion Calculations'!$D$7="Yes",'Mass Ion Calculations'!$D$18+'AA Exact Masses'!$Q$2-'Mass Ion Calculations'!$C$14-'Mass Ion Calculations'!$C33-'Mass Ion Calculations'!$D$5,'Mass Ion Calculations'!$F$18+'AA Exact Masses'!$Q$2-'Mass Ion Calculations'!$C$14-'Mass Ion Calculations'!$C33-'Mass Ion Calculations'!$D$5),IF('Mass Ion Calculations'!$D$7="Yes", 'Mass Ion Calculations'!$D$15+'AA Exact Masses'!$Q$2-'Mass Ion Calculations'!$C$14-'Mass Ion Calculations'!$C33-'Mass Ion Calculations'!$D$5,'Mass Ion Calculations'!$F$15+'AA Exact Masses'!$Q$2-'Mass Ion Calculations'!$C$14-'Mass Ion Calculations'!$C33-'Mass Ion Calculations'!$D$5)))</f>
        <v/>
      </c>
      <c r="M32" s="3" t="str">
        <f>IF(OR($B32="",M$3=""),"",IF('Mass Ion Calculations'!$D$6="Yes",IF('Mass Ion Calculations'!$D$7="Yes",'Mass Ion Calculations'!$D$18+'AA Exact Masses'!$Q$2-'Mass Ion Calculations'!$C$15-'Mass Ion Calculations'!$C33-'Mass Ion Calculations'!$D$5,'Mass Ion Calculations'!$F$18+'AA Exact Masses'!$Q$2-'Mass Ion Calculations'!$C$15-'Mass Ion Calculations'!$C33-'Mass Ion Calculations'!$D$5),IF('Mass Ion Calculations'!$D$7="Yes", 'Mass Ion Calculations'!$D$15+'AA Exact Masses'!$Q$2-'Mass Ion Calculations'!$C$15-'Mass Ion Calculations'!$C33-'Mass Ion Calculations'!$D$5,'Mass Ion Calculations'!$F$15+'AA Exact Masses'!$Q$2-'Mass Ion Calculations'!$C$15-'Mass Ion Calculations'!$C33-'Mass Ion Calculations'!$D$5)))</f>
        <v/>
      </c>
      <c r="N32" s="3" t="str">
        <f>IF(OR($B32="",N$3=""),"",IF('Mass Ion Calculations'!$D$6="Yes",IF('Mass Ion Calculations'!$D$7="Yes",'Mass Ion Calculations'!$D$18+'AA Exact Masses'!$Q$2-'Mass Ion Calculations'!$C$16-'Mass Ion Calculations'!$C33-'Mass Ion Calculations'!$D$5,'Mass Ion Calculations'!$F$18+'AA Exact Masses'!$Q$2-'Mass Ion Calculations'!$C$16-'Mass Ion Calculations'!$C33-'Mass Ion Calculations'!$D$5),IF('Mass Ion Calculations'!$D$7="Yes", 'Mass Ion Calculations'!$D$15+'AA Exact Masses'!$Q$2-'Mass Ion Calculations'!$C$16-'Mass Ion Calculations'!$C33-'Mass Ion Calculations'!$D$5,'Mass Ion Calculations'!$F$15+'AA Exact Masses'!$Q$2-'Mass Ion Calculations'!$C$16-'Mass Ion Calculations'!$C33-'Mass Ion Calculations'!$D$5)))</f>
        <v/>
      </c>
      <c r="O32" s="3" t="str">
        <f>IF(OR($B32="",O$3=""),"",IF('Mass Ion Calculations'!$D$6="Yes",IF('Mass Ion Calculations'!$D$7="Yes",'Mass Ion Calculations'!$D$18+'AA Exact Masses'!$Q$2-'Mass Ion Calculations'!$C$17-'Mass Ion Calculations'!$C33-'Mass Ion Calculations'!$D$5,'Mass Ion Calculations'!$F$18+'AA Exact Masses'!$Q$2-'Mass Ion Calculations'!$C$17-'Mass Ion Calculations'!$C33-'Mass Ion Calculations'!$D$5),IF('Mass Ion Calculations'!$D$7="Yes", 'Mass Ion Calculations'!$D$15+'AA Exact Masses'!$Q$2-'Mass Ion Calculations'!$C$17-'Mass Ion Calculations'!$C33-'Mass Ion Calculations'!$D$5,'Mass Ion Calculations'!$F$15+'AA Exact Masses'!$Q$2-'Mass Ion Calculations'!$C$17-'Mass Ion Calculations'!$C33-'Mass Ion Calculations'!$D$5)))</f>
        <v/>
      </c>
      <c r="P32" s="3" t="str">
        <f>IF(OR($B32="",P$3=""),"",IF('Mass Ion Calculations'!$D$6="Yes",IF('Mass Ion Calculations'!$D$7="Yes",'Mass Ion Calculations'!$D$18+'AA Exact Masses'!$Q$2-'Mass Ion Calculations'!$C$18-'Mass Ion Calculations'!$C33-'Mass Ion Calculations'!$D$5,'Mass Ion Calculations'!$F$18+'AA Exact Masses'!$Q$2-'Mass Ion Calculations'!$C$18-'Mass Ion Calculations'!$C33-'Mass Ion Calculations'!$D$5),IF('Mass Ion Calculations'!$D$7="Yes", 'Mass Ion Calculations'!$D$15+'AA Exact Masses'!$Q$2-'Mass Ion Calculations'!$C$18-'Mass Ion Calculations'!$C33-'Mass Ion Calculations'!$D$5,'Mass Ion Calculations'!$F$15+'AA Exact Masses'!$Q$2-'Mass Ion Calculations'!$C$18-'Mass Ion Calculations'!$C33-'Mass Ion Calculations'!$D$5)))</f>
        <v/>
      </c>
      <c r="Q32" s="3" t="str">
        <f>IF(OR($B32="",Q$3=""),"",IF('Mass Ion Calculations'!$D$6="Yes",IF('Mass Ion Calculations'!$D$7="Yes",'Mass Ion Calculations'!$D$18+'AA Exact Masses'!$Q$2-'Mass Ion Calculations'!$C$19-'Mass Ion Calculations'!$C33-'Mass Ion Calculations'!$D$5,'Mass Ion Calculations'!$F$18+'AA Exact Masses'!$Q$2-'Mass Ion Calculations'!$C$19-'Mass Ion Calculations'!$C33-'Mass Ion Calculations'!$D$5),IF('Mass Ion Calculations'!$D$7="Yes", 'Mass Ion Calculations'!$D$15+'AA Exact Masses'!$Q$2-'Mass Ion Calculations'!$C$19-'Mass Ion Calculations'!$C33-'Mass Ion Calculations'!$D$5,'Mass Ion Calculations'!$F$15+'AA Exact Masses'!$Q$2-'Mass Ion Calculations'!$C$19-'Mass Ion Calculations'!$C33-'Mass Ion Calculations'!$D$5)))</f>
        <v/>
      </c>
      <c r="R32" s="3" t="str">
        <f>IF(OR($B32="",R$3=""),"",IF('Mass Ion Calculations'!$D$6="Yes",IF('Mass Ion Calculations'!$D$7="Yes",'Mass Ion Calculations'!$D$18+'AA Exact Masses'!$Q$2-'Mass Ion Calculations'!$C$20-'Mass Ion Calculations'!$C33-'Mass Ion Calculations'!$D$5,'Mass Ion Calculations'!$F$18+'AA Exact Masses'!$Q$2-'Mass Ion Calculations'!$C$20-'Mass Ion Calculations'!$C33-'Mass Ion Calculations'!$D$5),IF('Mass Ion Calculations'!$D$7="Yes", 'Mass Ion Calculations'!$D$15+'AA Exact Masses'!$Q$2-'Mass Ion Calculations'!$C$20-'Mass Ion Calculations'!$C33-'Mass Ion Calculations'!$D$5,'Mass Ion Calculations'!$F$15+'AA Exact Masses'!$Q$2-'Mass Ion Calculations'!$C$20-'Mass Ion Calculations'!$C33-'Mass Ion Calculations'!$D$5)))</f>
        <v/>
      </c>
      <c r="S32" s="3" t="str">
        <f>IF(OR($B32="",S$3=""),"",IF('Mass Ion Calculations'!$D$6="Yes",IF('Mass Ion Calculations'!$D$7="Yes",'Mass Ion Calculations'!$D$18+'AA Exact Masses'!$Q$2-'Mass Ion Calculations'!$C$21-'Mass Ion Calculations'!$C33-'Mass Ion Calculations'!$D$5,'Mass Ion Calculations'!$F$18+'AA Exact Masses'!$Q$2-'Mass Ion Calculations'!$C$21-'Mass Ion Calculations'!$C33-'Mass Ion Calculations'!$D$5),IF('Mass Ion Calculations'!$D$7="Yes", 'Mass Ion Calculations'!$D$15+'AA Exact Masses'!$Q$2-'Mass Ion Calculations'!$C$21-'Mass Ion Calculations'!$C33-'Mass Ion Calculations'!$D$5,'Mass Ion Calculations'!$F$15+'AA Exact Masses'!$Q$2-'Mass Ion Calculations'!$C$21-'Mass Ion Calculations'!$C33-'Mass Ion Calculations'!$D$5)))</f>
        <v/>
      </c>
      <c r="T32" s="3" t="str">
        <f>IF(OR($B32="",T$3=""),"",IF('Mass Ion Calculations'!$D$6="Yes",IF('Mass Ion Calculations'!$D$7="Yes",'Mass Ion Calculations'!$D$18+'AA Exact Masses'!$Q$2-'Mass Ion Calculations'!$C$22-'Mass Ion Calculations'!$C33-'Mass Ion Calculations'!$D$5,'Mass Ion Calculations'!$F$18+'AA Exact Masses'!$Q$2-'Mass Ion Calculations'!$C$22-'Mass Ion Calculations'!$C33-'Mass Ion Calculations'!$D$5),IF('Mass Ion Calculations'!$D$7="Yes", 'Mass Ion Calculations'!$D$15+'AA Exact Masses'!$Q$2-'Mass Ion Calculations'!$C$22-'Mass Ion Calculations'!$C33-'Mass Ion Calculations'!$D$5,'Mass Ion Calculations'!$F$15+'AA Exact Masses'!$Q$2-'Mass Ion Calculations'!$C$22-'Mass Ion Calculations'!$C33-'Mass Ion Calculations'!$D$5)))</f>
        <v/>
      </c>
      <c r="U32" s="3" t="str">
        <f>IF(OR($B32="",U$3=""),"",IF('Mass Ion Calculations'!$D$6="Yes",IF('Mass Ion Calculations'!$D$7="Yes",'Mass Ion Calculations'!$D$18+'AA Exact Masses'!$Q$2-'Mass Ion Calculations'!$C$23-'Mass Ion Calculations'!$C33-'Mass Ion Calculations'!$D$5,'Mass Ion Calculations'!$F$18+'AA Exact Masses'!$Q$2-'Mass Ion Calculations'!$C$23-'Mass Ion Calculations'!$C33-'Mass Ion Calculations'!$D$5),IF('Mass Ion Calculations'!$D$7="Yes", 'Mass Ion Calculations'!$D$15+'AA Exact Masses'!$Q$2-'Mass Ion Calculations'!$C$23-'Mass Ion Calculations'!$C33-'Mass Ion Calculations'!$D$5,'Mass Ion Calculations'!$F$15+'AA Exact Masses'!$Q$2-'Mass Ion Calculations'!$C$23-'Mass Ion Calculations'!$C33-'Mass Ion Calculations'!$D$5)))</f>
        <v/>
      </c>
      <c r="V32" s="3" t="str">
        <f>IF(OR($B32="",V$3=""),"",IF('Mass Ion Calculations'!$D$6="Yes",IF('Mass Ion Calculations'!$D$7="Yes",'Mass Ion Calculations'!$D$18+'AA Exact Masses'!$Q$2-'Mass Ion Calculations'!$C$24-'Mass Ion Calculations'!$C33-'Mass Ion Calculations'!$D$5,'Mass Ion Calculations'!$F$18+'AA Exact Masses'!$Q$2-'Mass Ion Calculations'!$C$24-'Mass Ion Calculations'!$C33-'Mass Ion Calculations'!$D$5),IF('Mass Ion Calculations'!$D$7="Yes", 'Mass Ion Calculations'!$D$15+'AA Exact Masses'!$Q$2-'Mass Ion Calculations'!$C$24-'Mass Ion Calculations'!$C33-'Mass Ion Calculations'!$D$5,'Mass Ion Calculations'!$F$15+'AA Exact Masses'!$Q$2-'Mass Ion Calculations'!$C$24-'Mass Ion Calculations'!$C33-'Mass Ion Calculations'!$D$5)))</f>
        <v/>
      </c>
      <c r="W32" s="3" t="str">
        <f>IF(OR($B32="",W$3=""),"",IF('Mass Ion Calculations'!$D$6="Yes",IF('Mass Ion Calculations'!$D$7="Yes",'Mass Ion Calculations'!$D$18+'AA Exact Masses'!$Q$2-'Mass Ion Calculations'!$C$25-'Mass Ion Calculations'!$C33-'Mass Ion Calculations'!$D$5,'Mass Ion Calculations'!$F$18+'AA Exact Masses'!$Q$2-'Mass Ion Calculations'!$C$25-'Mass Ion Calculations'!$C33-'Mass Ion Calculations'!$D$5),IF('Mass Ion Calculations'!$D$7="Yes", 'Mass Ion Calculations'!$D$15+'AA Exact Masses'!$Q$2-'Mass Ion Calculations'!$C$25-'Mass Ion Calculations'!$C33-'Mass Ion Calculations'!$D$5,'Mass Ion Calculations'!$F$15+'AA Exact Masses'!$Q$2-'Mass Ion Calculations'!$C$25-'Mass Ion Calculations'!$C33-'Mass Ion Calculations'!$D$5)))</f>
        <v/>
      </c>
      <c r="X32" s="3" t="str">
        <f>IF(OR($B32="",X$3=""),"",IF('Mass Ion Calculations'!$D$6="Yes",IF('Mass Ion Calculations'!$D$7="Yes",'Mass Ion Calculations'!$D$18+'AA Exact Masses'!$Q$2-'Mass Ion Calculations'!$C$26-'Mass Ion Calculations'!$C33-'Mass Ion Calculations'!$D$5,'Mass Ion Calculations'!$F$18+'AA Exact Masses'!$Q$2-'Mass Ion Calculations'!$C$26-'Mass Ion Calculations'!$C33-'Mass Ion Calculations'!$D$5),IF('Mass Ion Calculations'!$D$7="Yes", 'Mass Ion Calculations'!$D$15+'AA Exact Masses'!$Q$2-'Mass Ion Calculations'!$C$26-'Mass Ion Calculations'!$C33-'Mass Ion Calculations'!$D$5,'Mass Ion Calculations'!$F$15+'AA Exact Masses'!$Q$2-'Mass Ion Calculations'!$C$26-'Mass Ion Calculations'!$C33-'Mass Ion Calculations'!$D$5)))</f>
        <v/>
      </c>
      <c r="Y32" s="3" t="str">
        <f>IF(OR($B32="",Y$3=""),"",IF('Mass Ion Calculations'!$D$6="Yes",('Mass Ion Calculations'!$D$15+'AA Exact Masses'!$Q$2-'Mass Ion Calculations'!$C$7-'Mass Ion Calculations'!$C33-'Mass Ion Calculations'!$D$5-18.01),('Mass Ion Calculations'!$D$15+'AA Exact Masses'!$Q$2-'Mass Ion Calculations'!$C$7-'Mass Ion Calculations'!$C33-'Mass Ion Calculations'!$D$5)))</f>
        <v/>
      </c>
      <c r="Z32" s="3" t="str">
        <f>IF(OR($B32="",Z$3=""),"",IF('Mass Ion Calculations'!$D$6="Yes",('Mass Ion Calculations'!$D$15+'AA Exact Masses'!$Q$2-'Mass Ion Calculations'!$C$7-'Mass Ion Calculations'!$C33-'Mass Ion Calculations'!$D$5-18.01),('Mass Ion Calculations'!$D$15+'AA Exact Masses'!$Q$2-'Mass Ion Calculations'!$C$7-'Mass Ion Calculations'!$C33-'Mass Ion Calculations'!$D$5)))</f>
        <v/>
      </c>
    </row>
    <row r="33" spans="3:26" x14ac:dyDescent="0.25">
      <c r="C33" s="3" t="str">
        <f>IF(OR($B33="",C$3=""),"",IF('Mass Ion Calculations'!$D$6="Yes",IF('Mass Ion Calculations'!$D$7="Yes",'Mass Ion Calculations'!$D$18+'AA Exact Masses'!$Q$2-'Mass Ion Calculations'!$C$5-'Mass Ion Calculations'!$C34-'Mass Ion Calculations'!$D$5,'Mass Ion Calculations'!$F$18+'AA Exact Masses'!$Q$2-'Mass Ion Calculations'!C34-'Mass Ion Calculations'!C34-'Mass Ion Calculations'!$D$5),IF('Mass Ion Calculations'!$D$7="Yes", 'Mass Ion Calculations'!$D$15+'AA Exact Masses'!$Q$2-'Mass Ion Calculations'!$C$5-'Mass Ion Calculations'!$C34-'Mass Ion Calculations'!$D$5,'Mass Ion Calculations'!$F$15+'AA Exact Masses'!$Q$2-'Mass Ion Calculations'!C34-'Mass Ion Calculations'!C34-'Mass Ion Calculations'!$D$5)))</f>
        <v/>
      </c>
      <c r="D33" s="3" t="str">
        <f>IF(OR($B33="",D$3=""),"",IF('Mass Ion Calculations'!$D$6="Yes",IF('Mass Ion Calculations'!$D$7="Yes",'Mass Ion Calculations'!$D$18+'AA Exact Masses'!$Q$2-'Mass Ion Calculations'!$C$6-'Mass Ion Calculations'!$C34-'Mass Ion Calculations'!$D$5,'Mass Ion Calculations'!$F$18+'AA Exact Masses'!$Q$2-'Mass Ion Calculations'!C34-'Mass Ion Calculations'!C34-'Mass Ion Calculations'!$D$5),IF('Mass Ion Calculations'!$D$7="Yes", 'Mass Ion Calculations'!$D$15+'AA Exact Masses'!$Q$2-'Mass Ion Calculations'!$C$6-'Mass Ion Calculations'!$C34-'Mass Ion Calculations'!$D$5,'Mass Ion Calculations'!$F$15+'AA Exact Masses'!$Q$2-'Mass Ion Calculations'!C34-'Mass Ion Calculations'!C34-'Mass Ion Calculations'!$D$5)))</f>
        <v/>
      </c>
      <c r="E33" s="3" t="str">
        <f>IF(OR($B33="",E$3=""),"",IF('Mass Ion Calculations'!$D$6="Yes",IF('Mass Ion Calculations'!$D$7="Yes",'Mass Ion Calculations'!$D$18+'AA Exact Masses'!$Q$2-'Mass Ion Calculations'!$C$7-'Mass Ion Calculations'!$C34-'Mass Ion Calculations'!$D$5,'Mass Ion Calculations'!$F$18+'AA Exact Masses'!$Q$2-'Mass Ion Calculations'!$C$7-'Mass Ion Calculations'!$C34-'Mass Ion Calculations'!$D$5),IF('Mass Ion Calculations'!$D$7="Yes", 'Mass Ion Calculations'!$D$15+'AA Exact Masses'!$Q$2-'Mass Ion Calculations'!$C$7-'Mass Ion Calculations'!$C34-'Mass Ion Calculations'!$D$5,'Mass Ion Calculations'!$F$15+'AA Exact Masses'!$Q$2-'Mass Ion Calculations'!$C$7-'Mass Ion Calculations'!$C34-'Mass Ion Calculations'!$D$5)))</f>
        <v/>
      </c>
      <c r="F33" s="3" t="str">
        <f>IF(OR($B33="",F$3=""),"",IF('Mass Ion Calculations'!$D$6="Yes",IF('Mass Ion Calculations'!$D$7="Yes",'Mass Ion Calculations'!$D$18+'AA Exact Masses'!$Q$2-'Mass Ion Calculations'!$C$8-'Mass Ion Calculations'!$C34-'Mass Ion Calculations'!$D$5,'Mass Ion Calculations'!$F$18+'AA Exact Masses'!$Q$2-'Mass Ion Calculations'!$C$8-'Mass Ion Calculations'!$C34-'Mass Ion Calculations'!$D$5),IF('Mass Ion Calculations'!$D$7="Yes", 'Mass Ion Calculations'!$D$15+'AA Exact Masses'!$Q$2-'Mass Ion Calculations'!$C$8-'Mass Ion Calculations'!$C34-'Mass Ion Calculations'!$D$5,'Mass Ion Calculations'!$F$15+'AA Exact Masses'!$Q$2-'Mass Ion Calculations'!$C$8-'Mass Ion Calculations'!$C34-'Mass Ion Calculations'!$D$5)))</f>
        <v/>
      </c>
      <c r="G33" s="3" t="str">
        <f>IF(OR($B33="",G$3=""),"",IF('Mass Ion Calculations'!$D$6="Yes",IF('Mass Ion Calculations'!$D$7="Yes",'Mass Ion Calculations'!$D$18+'AA Exact Masses'!$Q$2-'Mass Ion Calculations'!$C$9-'Mass Ion Calculations'!$C34-'Mass Ion Calculations'!$D$5,'Mass Ion Calculations'!$F$18+'AA Exact Masses'!$Q$2-'Mass Ion Calculations'!$C$9-'Mass Ion Calculations'!$C34-'Mass Ion Calculations'!$D$5),IF('Mass Ion Calculations'!$D$7="Yes", 'Mass Ion Calculations'!$D$15+'AA Exact Masses'!$Q$2-'Mass Ion Calculations'!$C$9-'Mass Ion Calculations'!$C34-'Mass Ion Calculations'!$D$5,'Mass Ion Calculations'!$F$15+'AA Exact Masses'!$Q$2-'Mass Ion Calculations'!$C$9-'Mass Ion Calculations'!$C34-'Mass Ion Calculations'!$D$5)))</f>
        <v/>
      </c>
      <c r="H33" s="3" t="str">
        <f>IF(OR($B33="",H$3=""),"",IF('Mass Ion Calculations'!$D$6="Yes",IF('Mass Ion Calculations'!$D$7="Yes",'Mass Ion Calculations'!$D$18+'AA Exact Masses'!$Q$2-'Mass Ion Calculations'!$C$10-'Mass Ion Calculations'!$C34-'Mass Ion Calculations'!$D$5,'Mass Ion Calculations'!$F$18+'AA Exact Masses'!$Q$2-'Mass Ion Calculations'!$C$10-'Mass Ion Calculations'!$C34-'Mass Ion Calculations'!$D$5),IF('Mass Ion Calculations'!$D$7="Yes", 'Mass Ion Calculations'!$D$15+'AA Exact Masses'!$Q$2-'Mass Ion Calculations'!$C$10-'Mass Ion Calculations'!$C34-'Mass Ion Calculations'!$D$5,'Mass Ion Calculations'!$F$15+'AA Exact Masses'!$Q$2-'Mass Ion Calculations'!$C$10-'Mass Ion Calculations'!$C34-'Mass Ion Calculations'!$D$5)))</f>
        <v/>
      </c>
      <c r="I33" s="3" t="str">
        <f>IF(OR($B33="",I$3=""),"",IF('Mass Ion Calculations'!$D$6="Yes",IF('Mass Ion Calculations'!$D$7="Yes",'Mass Ion Calculations'!$D$18+'AA Exact Masses'!$Q$2-'Mass Ion Calculations'!$C$11-'Mass Ion Calculations'!$C34-'Mass Ion Calculations'!$D$5,'Mass Ion Calculations'!$F$18+'AA Exact Masses'!$Q$2-'Mass Ion Calculations'!$C$11-'Mass Ion Calculations'!$C34-'Mass Ion Calculations'!$D$5),IF('Mass Ion Calculations'!$D$7="Yes", 'Mass Ion Calculations'!$D$15+'AA Exact Masses'!$Q$2-'Mass Ion Calculations'!$C$11-'Mass Ion Calculations'!$C34-'Mass Ion Calculations'!$D$5,'Mass Ion Calculations'!$F$15+'AA Exact Masses'!$Q$2-'Mass Ion Calculations'!$C$11-'Mass Ion Calculations'!$C34-'Mass Ion Calculations'!$D$5)))</f>
        <v/>
      </c>
      <c r="J33" s="3" t="str">
        <f>IF(OR($B33="",J$3=""),"",IF('Mass Ion Calculations'!$D$6="Yes",IF('Mass Ion Calculations'!$D$7="Yes",'Mass Ion Calculations'!$D$18+'AA Exact Masses'!$Q$2-'Mass Ion Calculations'!$C$12-'Mass Ion Calculations'!$C34-'Mass Ion Calculations'!$D$5,'Mass Ion Calculations'!$F$18+'AA Exact Masses'!$Q$2-'Mass Ion Calculations'!$C$12-'Mass Ion Calculations'!$C34-'Mass Ion Calculations'!$D$5),IF('Mass Ion Calculations'!$D$7="Yes", 'Mass Ion Calculations'!$D$15+'AA Exact Masses'!$Q$2-'Mass Ion Calculations'!$C$12-'Mass Ion Calculations'!$C34-'Mass Ion Calculations'!$D$5,'Mass Ion Calculations'!$F$15+'AA Exact Masses'!$Q$2-'Mass Ion Calculations'!$C$12-'Mass Ion Calculations'!$C34-'Mass Ion Calculations'!$D$5)))</f>
        <v/>
      </c>
      <c r="K33" s="3" t="str">
        <f>IF(OR($B33="",K$3=""),"",IF('Mass Ion Calculations'!$D$6="Yes",IF('Mass Ion Calculations'!$D$7="Yes",'Mass Ion Calculations'!$D$18+'AA Exact Masses'!$Q$2-'Mass Ion Calculations'!$C$13-'Mass Ion Calculations'!$C34-'Mass Ion Calculations'!$D$5,'Mass Ion Calculations'!$F$18+'AA Exact Masses'!$Q$2-'Mass Ion Calculations'!$C$13-'Mass Ion Calculations'!$C34-'Mass Ion Calculations'!$D$5),IF('Mass Ion Calculations'!$D$7="Yes", 'Mass Ion Calculations'!$D$15+'AA Exact Masses'!$Q$2-'Mass Ion Calculations'!$C$13-'Mass Ion Calculations'!$C34-'Mass Ion Calculations'!$D$5,'Mass Ion Calculations'!$F$15+'AA Exact Masses'!$Q$2-'Mass Ion Calculations'!$C$13-'Mass Ion Calculations'!$C34-'Mass Ion Calculations'!$D$5)))</f>
        <v/>
      </c>
      <c r="L33" s="3" t="str">
        <f>IF(OR($B33="",L$3=""),"",IF('Mass Ion Calculations'!$D$6="Yes",IF('Mass Ion Calculations'!$D$7="Yes",'Mass Ion Calculations'!$D$18+'AA Exact Masses'!$Q$2-'Mass Ion Calculations'!$C$14-'Mass Ion Calculations'!$C34-'Mass Ion Calculations'!$D$5,'Mass Ion Calculations'!$F$18+'AA Exact Masses'!$Q$2-'Mass Ion Calculations'!$C$14-'Mass Ion Calculations'!$C34-'Mass Ion Calculations'!$D$5),IF('Mass Ion Calculations'!$D$7="Yes", 'Mass Ion Calculations'!$D$15+'AA Exact Masses'!$Q$2-'Mass Ion Calculations'!$C$14-'Mass Ion Calculations'!$C34-'Mass Ion Calculations'!$D$5,'Mass Ion Calculations'!$F$15+'AA Exact Masses'!$Q$2-'Mass Ion Calculations'!$C$14-'Mass Ion Calculations'!$C34-'Mass Ion Calculations'!$D$5)))</f>
        <v/>
      </c>
      <c r="M33" s="3" t="str">
        <f>IF(OR($B33="",M$3=""),"",IF('Mass Ion Calculations'!$D$6="Yes",IF('Mass Ion Calculations'!$D$7="Yes",'Mass Ion Calculations'!$D$18+'AA Exact Masses'!$Q$2-'Mass Ion Calculations'!$C$15-'Mass Ion Calculations'!$C34-'Mass Ion Calculations'!$D$5,'Mass Ion Calculations'!$F$18+'AA Exact Masses'!$Q$2-'Mass Ion Calculations'!$C$15-'Mass Ion Calculations'!$C34-'Mass Ion Calculations'!$D$5),IF('Mass Ion Calculations'!$D$7="Yes", 'Mass Ion Calculations'!$D$15+'AA Exact Masses'!$Q$2-'Mass Ion Calculations'!$C$15-'Mass Ion Calculations'!$C34-'Mass Ion Calculations'!$D$5,'Mass Ion Calculations'!$F$15+'AA Exact Masses'!$Q$2-'Mass Ion Calculations'!$C$15-'Mass Ion Calculations'!$C34-'Mass Ion Calculations'!$D$5)))</f>
        <v/>
      </c>
      <c r="N33" s="3" t="str">
        <f>IF(OR($B33="",N$3=""),"",IF('Mass Ion Calculations'!$D$6="Yes",IF('Mass Ion Calculations'!$D$7="Yes",'Mass Ion Calculations'!$D$18+'AA Exact Masses'!$Q$2-'Mass Ion Calculations'!$C$16-'Mass Ion Calculations'!$C34-'Mass Ion Calculations'!$D$5,'Mass Ion Calculations'!$F$18+'AA Exact Masses'!$Q$2-'Mass Ion Calculations'!$C$16-'Mass Ion Calculations'!$C34-'Mass Ion Calculations'!$D$5),IF('Mass Ion Calculations'!$D$7="Yes", 'Mass Ion Calculations'!$D$15+'AA Exact Masses'!$Q$2-'Mass Ion Calculations'!$C$16-'Mass Ion Calculations'!$C34-'Mass Ion Calculations'!$D$5,'Mass Ion Calculations'!$F$15+'AA Exact Masses'!$Q$2-'Mass Ion Calculations'!$C$16-'Mass Ion Calculations'!$C34-'Mass Ion Calculations'!$D$5)))</f>
        <v/>
      </c>
      <c r="O33" s="3" t="str">
        <f>IF(OR($B33="",O$3=""),"",IF('Mass Ion Calculations'!$D$6="Yes",IF('Mass Ion Calculations'!$D$7="Yes",'Mass Ion Calculations'!$D$18+'AA Exact Masses'!$Q$2-'Mass Ion Calculations'!$C$17-'Mass Ion Calculations'!$C34-'Mass Ion Calculations'!$D$5,'Mass Ion Calculations'!$F$18+'AA Exact Masses'!$Q$2-'Mass Ion Calculations'!$C$17-'Mass Ion Calculations'!$C34-'Mass Ion Calculations'!$D$5),IF('Mass Ion Calculations'!$D$7="Yes", 'Mass Ion Calculations'!$D$15+'AA Exact Masses'!$Q$2-'Mass Ion Calculations'!$C$17-'Mass Ion Calculations'!$C34-'Mass Ion Calculations'!$D$5,'Mass Ion Calculations'!$F$15+'AA Exact Masses'!$Q$2-'Mass Ion Calculations'!$C$17-'Mass Ion Calculations'!$C34-'Mass Ion Calculations'!$D$5)))</f>
        <v/>
      </c>
      <c r="P33" s="3" t="str">
        <f>IF(OR($B33="",P$3=""),"",IF('Mass Ion Calculations'!$D$6="Yes",IF('Mass Ion Calculations'!$D$7="Yes",'Mass Ion Calculations'!$D$18+'AA Exact Masses'!$Q$2-'Mass Ion Calculations'!$C$18-'Mass Ion Calculations'!$C34-'Mass Ion Calculations'!$D$5,'Mass Ion Calculations'!$F$18+'AA Exact Masses'!$Q$2-'Mass Ion Calculations'!$C$18-'Mass Ion Calculations'!$C34-'Mass Ion Calculations'!$D$5),IF('Mass Ion Calculations'!$D$7="Yes", 'Mass Ion Calculations'!$D$15+'AA Exact Masses'!$Q$2-'Mass Ion Calculations'!$C$18-'Mass Ion Calculations'!$C34-'Mass Ion Calculations'!$D$5,'Mass Ion Calculations'!$F$15+'AA Exact Masses'!$Q$2-'Mass Ion Calculations'!$C$18-'Mass Ion Calculations'!$C34-'Mass Ion Calculations'!$D$5)))</f>
        <v/>
      </c>
      <c r="Q33" s="3" t="str">
        <f>IF(OR($B33="",Q$3=""),"",IF('Mass Ion Calculations'!$D$6="Yes",IF('Mass Ion Calculations'!$D$7="Yes",'Mass Ion Calculations'!$D$18+'AA Exact Masses'!$Q$2-'Mass Ion Calculations'!$C$19-'Mass Ion Calculations'!$C34-'Mass Ion Calculations'!$D$5,'Mass Ion Calculations'!$F$18+'AA Exact Masses'!$Q$2-'Mass Ion Calculations'!$C$19-'Mass Ion Calculations'!$C34-'Mass Ion Calculations'!$D$5),IF('Mass Ion Calculations'!$D$7="Yes", 'Mass Ion Calculations'!$D$15+'AA Exact Masses'!$Q$2-'Mass Ion Calculations'!$C$19-'Mass Ion Calculations'!$C34-'Mass Ion Calculations'!$D$5,'Mass Ion Calculations'!$F$15+'AA Exact Masses'!$Q$2-'Mass Ion Calculations'!$C$19-'Mass Ion Calculations'!$C34-'Mass Ion Calculations'!$D$5)))</f>
        <v/>
      </c>
      <c r="R33" s="3" t="str">
        <f>IF(OR($B33="",R$3=""),"",IF('Mass Ion Calculations'!$D$6="Yes",IF('Mass Ion Calculations'!$D$7="Yes",'Mass Ion Calculations'!$D$18+'AA Exact Masses'!$Q$2-'Mass Ion Calculations'!$C$20-'Mass Ion Calculations'!$C34-'Mass Ion Calculations'!$D$5,'Mass Ion Calculations'!$F$18+'AA Exact Masses'!$Q$2-'Mass Ion Calculations'!$C$20-'Mass Ion Calculations'!$C34-'Mass Ion Calculations'!$D$5),IF('Mass Ion Calculations'!$D$7="Yes", 'Mass Ion Calculations'!$D$15+'AA Exact Masses'!$Q$2-'Mass Ion Calculations'!$C$20-'Mass Ion Calculations'!$C34-'Mass Ion Calculations'!$D$5,'Mass Ion Calculations'!$F$15+'AA Exact Masses'!$Q$2-'Mass Ion Calculations'!$C$20-'Mass Ion Calculations'!$C34-'Mass Ion Calculations'!$D$5)))</f>
        <v/>
      </c>
      <c r="S33" s="3" t="str">
        <f>IF(OR($B33="",S$3=""),"",IF('Mass Ion Calculations'!$D$6="Yes",IF('Mass Ion Calculations'!$D$7="Yes",'Mass Ion Calculations'!$D$18+'AA Exact Masses'!$Q$2-'Mass Ion Calculations'!$C$21-'Mass Ion Calculations'!$C34-'Mass Ion Calculations'!$D$5,'Mass Ion Calculations'!$F$18+'AA Exact Masses'!$Q$2-'Mass Ion Calculations'!$C$21-'Mass Ion Calculations'!$C34-'Mass Ion Calculations'!$D$5),IF('Mass Ion Calculations'!$D$7="Yes", 'Mass Ion Calculations'!$D$15+'AA Exact Masses'!$Q$2-'Mass Ion Calculations'!$C$21-'Mass Ion Calculations'!$C34-'Mass Ion Calculations'!$D$5,'Mass Ion Calculations'!$F$15+'AA Exact Masses'!$Q$2-'Mass Ion Calculations'!$C$21-'Mass Ion Calculations'!$C34-'Mass Ion Calculations'!$D$5)))</f>
        <v/>
      </c>
      <c r="T33" s="3" t="str">
        <f>IF(OR($B33="",T$3=""),"",IF('Mass Ion Calculations'!$D$6="Yes",IF('Mass Ion Calculations'!$D$7="Yes",'Mass Ion Calculations'!$D$18+'AA Exact Masses'!$Q$2-'Mass Ion Calculations'!$C$22-'Mass Ion Calculations'!$C34-'Mass Ion Calculations'!$D$5,'Mass Ion Calculations'!$F$18+'AA Exact Masses'!$Q$2-'Mass Ion Calculations'!$C$22-'Mass Ion Calculations'!$C34-'Mass Ion Calculations'!$D$5),IF('Mass Ion Calculations'!$D$7="Yes", 'Mass Ion Calculations'!$D$15+'AA Exact Masses'!$Q$2-'Mass Ion Calculations'!$C$22-'Mass Ion Calculations'!$C34-'Mass Ion Calculations'!$D$5,'Mass Ion Calculations'!$F$15+'AA Exact Masses'!$Q$2-'Mass Ion Calculations'!$C$22-'Mass Ion Calculations'!$C34-'Mass Ion Calculations'!$D$5)))</f>
        <v/>
      </c>
      <c r="U33" s="3" t="str">
        <f>IF(OR($B33="",U$3=""),"",IF('Mass Ion Calculations'!$D$6="Yes",IF('Mass Ion Calculations'!$D$7="Yes",'Mass Ion Calculations'!$D$18+'AA Exact Masses'!$Q$2-'Mass Ion Calculations'!$C$23-'Mass Ion Calculations'!$C34-'Mass Ion Calculations'!$D$5,'Mass Ion Calculations'!$F$18+'AA Exact Masses'!$Q$2-'Mass Ion Calculations'!$C$23-'Mass Ion Calculations'!$C34-'Mass Ion Calculations'!$D$5),IF('Mass Ion Calculations'!$D$7="Yes", 'Mass Ion Calculations'!$D$15+'AA Exact Masses'!$Q$2-'Mass Ion Calculations'!$C$23-'Mass Ion Calculations'!$C34-'Mass Ion Calculations'!$D$5,'Mass Ion Calculations'!$F$15+'AA Exact Masses'!$Q$2-'Mass Ion Calculations'!$C$23-'Mass Ion Calculations'!$C34-'Mass Ion Calculations'!$D$5)))</f>
        <v/>
      </c>
      <c r="V33" s="3" t="str">
        <f>IF(OR($B33="",V$3=""),"",IF('Mass Ion Calculations'!$D$6="Yes",IF('Mass Ion Calculations'!$D$7="Yes",'Mass Ion Calculations'!$D$18+'AA Exact Masses'!$Q$2-'Mass Ion Calculations'!$C$24-'Mass Ion Calculations'!$C34-'Mass Ion Calculations'!$D$5,'Mass Ion Calculations'!$F$18+'AA Exact Masses'!$Q$2-'Mass Ion Calculations'!$C$24-'Mass Ion Calculations'!$C34-'Mass Ion Calculations'!$D$5),IF('Mass Ion Calculations'!$D$7="Yes", 'Mass Ion Calculations'!$D$15+'AA Exact Masses'!$Q$2-'Mass Ion Calculations'!$C$24-'Mass Ion Calculations'!$C34-'Mass Ion Calculations'!$D$5,'Mass Ion Calculations'!$F$15+'AA Exact Masses'!$Q$2-'Mass Ion Calculations'!$C$24-'Mass Ion Calculations'!$C34-'Mass Ion Calculations'!$D$5)))</f>
        <v/>
      </c>
      <c r="W33" s="3" t="str">
        <f>IF(OR($B33="",W$3=""),"",IF('Mass Ion Calculations'!$D$6="Yes",IF('Mass Ion Calculations'!$D$7="Yes",'Mass Ion Calculations'!$D$18+'AA Exact Masses'!$Q$2-'Mass Ion Calculations'!$C$25-'Mass Ion Calculations'!$C34-'Mass Ion Calculations'!$D$5,'Mass Ion Calculations'!$F$18+'AA Exact Masses'!$Q$2-'Mass Ion Calculations'!$C$25-'Mass Ion Calculations'!$C34-'Mass Ion Calculations'!$D$5),IF('Mass Ion Calculations'!$D$7="Yes", 'Mass Ion Calculations'!$D$15+'AA Exact Masses'!$Q$2-'Mass Ion Calculations'!$C$25-'Mass Ion Calculations'!$C34-'Mass Ion Calculations'!$D$5,'Mass Ion Calculations'!$F$15+'AA Exact Masses'!$Q$2-'Mass Ion Calculations'!$C$25-'Mass Ion Calculations'!$C34-'Mass Ion Calculations'!$D$5)))</f>
        <v/>
      </c>
      <c r="X33" s="3" t="str">
        <f>IF(OR($B33="",X$3=""),"",IF('Mass Ion Calculations'!$D$6="Yes",IF('Mass Ion Calculations'!$D$7="Yes",'Mass Ion Calculations'!$D$18+'AA Exact Masses'!$Q$2-'Mass Ion Calculations'!$C$26-'Mass Ion Calculations'!$C34-'Mass Ion Calculations'!$D$5,'Mass Ion Calculations'!$F$18+'AA Exact Masses'!$Q$2-'Mass Ion Calculations'!$C$26-'Mass Ion Calculations'!$C34-'Mass Ion Calculations'!$D$5),IF('Mass Ion Calculations'!$D$7="Yes", 'Mass Ion Calculations'!$D$15+'AA Exact Masses'!$Q$2-'Mass Ion Calculations'!$C$26-'Mass Ion Calculations'!$C34-'Mass Ion Calculations'!$D$5,'Mass Ion Calculations'!$F$15+'AA Exact Masses'!$Q$2-'Mass Ion Calculations'!$C$26-'Mass Ion Calculations'!$C34-'Mass Ion Calculations'!$D$5)))</f>
        <v/>
      </c>
      <c r="Y33" s="3" t="str">
        <f>IF(OR($B33="",Y$3=""),"",IF('Mass Ion Calculations'!$D$6="Yes",('Mass Ion Calculations'!$D$15+'AA Exact Masses'!$Q$2-'Mass Ion Calculations'!$C$7-'Mass Ion Calculations'!$C34-'Mass Ion Calculations'!$D$5-18.01),('Mass Ion Calculations'!$D$15+'AA Exact Masses'!$Q$2-'Mass Ion Calculations'!$C$7-'Mass Ion Calculations'!$C34-'Mass Ion Calculations'!$D$5)))</f>
        <v/>
      </c>
      <c r="Z33" s="3" t="str">
        <f>IF(OR($B33="",Z$3=""),"",IF('Mass Ion Calculations'!$D$6="Yes",('Mass Ion Calculations'!$D$15+'AA Exact Masses'!$Q$2-'Mass Ion Calculations'!$C$7-'Mass Ion Calculations'!$C34-'Mass Ion Calculations'!$D$5-18.01),('Mass Ion Calculations'!$D$15+'AA Exact Masses'!$Q$2-'Mass Ion Calculations'!$C$7-'Mass Ion Calculations'!$C34-'Mass Ion Calculations'!$D$5)))</f>
        <v/>
      </c>
    </row>
    <row r="34" spans="3:26" x14ac:dyDescent="0.25">
      <c r="C34" s="3" t="str">
        <f>IF(OR($B34="",C$3=""),"",IF('Mass Ion Calculations'!$D$6="Yes",IF('Mass Ion Calculations'!$D$7="Yes",'Mass Ion Calculations'!$D$18+'AA Exact Masses'!$Q$2-'Mass Ion Calculations'!$C$5-'Mass Ion Calculations'!$C35-'Mass Ion Calculations'!$D$5,'Mass Ion Calculations'!$F$18+'AA Exact Masses'!$Q$2-'Mass Ion Calculations'!C35-'Mass Ion Calculations'!C35-'Mass Ion Calculations'!$D$5),IF('Mass Ion Calculations'!$D$7="Yes", 'Mass Ion Calculations'!$D$15+'AA Exact Masses'!$Q$2-'Mass Ion Calculations'!$C$5-'Mass Ion Calculations'!$C35-'Mass Ion Calculations'!$D$5,'Mass Ion Calculations'!$F$15+'AA Exact Masses'!$Q$2-'Mass Ion Calculations'!C35-'Mass Ion Calculations'!C35-'Mass Ion Calculations'!$D$5)))</f>
        <v/>
      </c>
      <c r="D34" s="3" t="str">
        <f>IF(OR($B34="",D$3=""),"",IF('Mass Ion Calculations'!$D$6="Yes",IF('Mass Ion Calculations'!$D$7="Yes",'Mass Ion Calculations'!$D$18+'AA Exact Masses'!$Q$2-'Mass Ion Calculations'!$C$6-'Mass Ion Calculations'!$C35-'Mass Ion Calculations'!$D$5,'Mass Ion Calculations'!$F$18+'AA Exact Masses'!$Q$2-'Mass Ion Calculations'!$C$6-'Mass Ion Calculations'!$C35-'Mass Ion Calculations'!$D$5),IF('Mass Ion Calculations'!$D$7="Yes", 'Mass Ion Calculations'!$D$15+'AA Exact Masses'!$Q$2-'Mass Ion Calculations'!$C$6-'Mass Ion Calculations'!$C35-'Mass Ion Calculations'!$D$5,'Mass Ion Calculations'!$F$15+'AA Exact Masses'!$Q$2-'Mass Ion Calculations'!$C$6-'Mass Ion Calculations'!$C35-'Mass Ion Calculations'!$D$5)))</f>
        <v/>
      </c>
      <c r="E34" s="3" t="str">
        <f>IF(OR($B34="",E$3=""),"",IF('Mass Ion Calculations'!$D$6="Yes",IF('Mass Ion Calculations'!$D$7="Yes",'Mass Ion Calculations'!$D$18+'AA Exact Masses'!$Q$2-'Mass Ion Calculations'!$C$7-'Mass Ion Calculations'!$C35-'Mass Ion Calculations'!$D$5,'Mass Ion Calculations'!$F$18+'AA Exact Masses'!$Q$2-'Mass Ion Calculations'!$C$7-'Mass Ion Calculations'!$C35-'Mass Ion Calculations'!$D$5),IF('Mass Ion Calculations'!$D$7="Yes", 'Mass Ion Calculations'!$D$15+'AA Exact Masses'!$Q$2-'Mass Ion Calculations'!$C$7-'Mass Ion Calculations'!$C35-'Mass Ion Calculations'!$D$5,'Mass Ion Calculations'!$F$15+'AA Exact Masses'!$Q$2-'Mass Ion Calculations'!$C$7-'Mass Ion Calculations'!$C35-'Mass Ion Calculations'!$D$5)))</f>
        <v/>
      </c>
      <c r="F34" s="3" t="str">
        <f>IF(OR($B34="",F$3=""),"",IF('Mass Ion Calculations'!$D$6="Yes",IF('Mass Ion Calculations'!$D$7="Yes",'Mass Ion Calculations'!$D$18+'AA Exact Masses'!$Q$2-'Mass Ion Calculations'!$C$8-'Mass Ion Calculations'!$C35-'Mass Ion Calculations'!$D$5,'Mass Ion Calculations'!$F$18+'AA Exact Masses'!$Q$2-'Mass Ion Calculations'!$C$8-'Mass Ion Calculations'!$C35-'Mass Ion Calculations'!$D$5),IF('Mass Ion Calculations'!$D$7="Yes", 'Mass Ion Calculations'!$D$15+'AA Exact Masses'!$Q$2-'Mass Ion Calculations'!$C$8-'Mass Ion Calculations'!$C35-'Mass Ion Calculations'!$D$5,'Mass Ion Calculations'!$F$15+'AA Exact Masses'!$Q$2-'Mass Ion Calculations'!$C$8-'Mass Ion Calculations'!$C35-'Mass Ion Calculations'!$D$5)))</f>
        <v/>
      </c>
      <c r="G34" s="3" t="str">
        <f>IF(OR($B34="",G$3=""),"",IF('Mass Ion Calculations'!$D$6="Yes",IF('Mass Ion Calculations'!$D$7="Yes",'Mass Ion Calculations'!$D$18+'AA Exact Masses'!$Q$2-'Mass Ion Calculations'!$C$9-'Mass Ion Calculations'!$C35-'Mass Ion Calculations'!$D$5,'Mass Ion Calculations'!$F$18+'AA Exact Masses'!$Q$2-'Mass Ion Calculations'!$C$9-'Mass Ion Calculations'!$C35-'Mass Ion Calculations'!$D$5),IF('Mass Ion Calculations'!$D$7="Yes", 'Mass Ion Calculations'!$D$15+'AA Exact Masses'!$Q$2-'Mass Ion Calculations'!$C$9-'Mass Ion Calculations'!$C35-'Mass Ion Calculations'!$D$5,'Mass Ion Calculations'!$F$15+'AA Exact Masses'!$Q$2-'Mass Ion Calculations'!$C$9-'Mass Ion Calculations'!$C35-'Mass Ion Calculations'!$D$5)))</f>
        <v/>
      </c>
      <c r="H34" s="3" t="str">
        <f>IF(OR($B34="",H$3=""),"",IF('Mass Ion Calculations'!$D$6="Yes",IF('Mass Ion Calculations'!$D$7="Yes",'Mass Ion Calculations'!$D$18+'AA Exact Masses'!$Q$2-'Mass Ion Calculations'!$C$10-'Mass Ion Calculations'!$C35-'Mass Ion Calculations'!$D$5,'Mass Ion Calculations'!$F$18+'AA Exact Masses'!$Q$2-'Mass Ion Calculations'!$C$10-'Mass Ion Calculations'!$C35-'Mass Ion Calculations'!$D$5),IF('Mass Ion Calculations'!$D$7="Yes", 'Mass Ion Calculations'!$D$15+'AA Exact Masses'!$Q$2-'Mass Ion Calculations'!$C$10-'Mass Ion Calculations'!$C35-'Mass Ion Calculations'!$D$5,'Mass Ion Calculations'!$F$15+'AA Exact Masses'!$Q$2-'Mass Ion Calculations'!$C$10-'Mass Ion Calculations'!$C35-'Mass Ion Calculations'!$D$5)))</f>
        <v/>
      </c>
      <c r="I34" s="3" t="str">
        <f>IF(OR($B34="",I$3=""),"",IF('Mass Ion Calculations'!$D$6="Yes",IF('Mass Ion Calculations'!$D$7="Yes",'Mass Ion Calculations'!$D$18+'AA Exact Masses'!$Q$2-'Mass Ion Calculations'!$C$11-'Mass Ion Calculations'!$C35-'Mass Ion Calculations'!$D$5,'Mass Ion Calculations'!$F$18+'AA Exact Masses'!$Q$2-'Mass Ion Calculations'!$C$11-'Mass Ion Calculations'!$C35-'Mass Ion Calculations'!$D$5),IF('Mass Ion Calculations'!$D$7="Yes", 'Mass Ion Calculations'!$D$15+'AA Exact Masses'!$Q$2-'Mass Ion Calculations'!$C$11-'Mass Ion Calculations'!$C35-'Mass Ion Calculations'!$D$5,'Mass Ion Calculations'!$F$15+'AA Exact Masses'!$Q$2-'Mass Ion Calculations'!$C$11-'Mass Ion Calculations'!$C35-'Mass Ion Calculations'!$D$5)))</f>
        <v/>
      </c>
      <c r="J34" s="3" t="str">
        <f>IF(OR($B34="",J$3=""),"",IF('Mass Ion Calculations'!$D$6="Yes",IF('Mass Ion Calculations'!$D$7="Yes",'Mass Ion Calculations'!$D$18+'AA Exact Masses'!$Q$2-'Mass Ion Calculations'!$C$12-'Mass Ion Calculations'!$C35-'Mass Ion Calculations'!$D$5,'Mass Ion Calculations'!$F$18+'AA Exact Masses'!$Q$2-'Mass Ion Calculations'!$C$12-'Mass Ion Calculations'!$C35-'Mass Ion Calculations'!$D$5),IF('Mass Ion Calculations'!$D$7="Yes", 'Mass Ion Calculations'!$D$15+'AA Exact Masses'!$Q$2-'Mass Ion Calculations'!$C$12-'Mass Ion Calculations'!$C35-'Mass Ion Calculations'!$D$5,'Mass Ion Calculations'!$F$15+'AA Exact Masses'!$Q$2-'Mass Ion Calculations'!$C$12-'Mass Ion Calculations'!$C35-'Mass Ion Calculations'!$D$5)))</f>
        <v/>
      </c>
      <c r="K34" s="3" t="str">
        <f>IF(OR($B34="",K$3=""),"",IF('Mass Ion Calculations'!$D$6="Yes",IF('Mass Ion Calculations'!$D$7="Yes",'Mass Ion Calculations'!$D$18+'AA Exact Masses'!$Q$2-'Mass Ion Calculations'!$C$13-'Mass Ion Calculations'!$C35-'Mass Ion Calculations'!$D$5,'Mass Ion Calculations'!$F$18+'AA Exact Masses'!$Q$2-'Mass Ion Calculations'!$C$13-'Mass Ion Calculations'!$C35-'Mass Ion Calculations'!$D$5),IF('Mass Ion Calculations'!$D$7="Yes", 'Mass Ion Calculations'!$D$15+'AA Exact Masses'!$Q$2-'Mass Ion Calculations'!$C$13-'Mass Ion Calculations'!$C35-'Mass Ion Calculations'!$D$5,'Mass Ion Calculations'!$F$15+'AA Exact Masses'!$Q$2-'Mass Ion Calculations'!$C$13-'Mass Ion Calculations'!$C35-'Mass Ion Calculations'!$D$5)))</f>
        <v/>
      </c>
      <c r="L34" s="3" t="str">
        <f>IF(OR($B34="",L$3=""),"",IF('Mass Ion Calculations'!$D$6="Yes",IF('Mass Ion Calculations'!$D$7="Yes",'Mass Ion Calculations'!$D$18+'AA Exact Masses'!$Q$2-'Mass Ion Calculations'!$C$14-'Mass Ion Calculations'!$C35-'Mass Ion Calculations'!$D$5,'Mass Ion Calculations'!$F$18+'AA Exact Masses'!$Q$2-'Mass Ion Calculations'!$C$14-'Mass Ion Calculations'!$C35-'Mass Ion Calculations'!$D$5),IF('Mass Ion Calculations'!$D$7="Yes", 'Mass Ion Calculations'!$D$15+'AA Exact Masses'!$Q$2-'Mass Ion Calculations'!$C$14-'Mass Ion Calculations'!$C35-'Mass Ion Calculations'!$D$5,'Mass Ion Calculations'!$F$15+'AA Exact Masses'!$Q$2-'Mass Ion Calculations'!$C$14-'Mass Ion Calculations'!$C35-'Mass Ion Calculations'!$D$5)))</f>
        <v/>
      </c>
      <c r="M34" s="3" t="str">
        <f>IF(OR($B34="",M$3=""),"",IF('Mass Ion Calculations'!$D$6="Yes",IF('Mass Ion Calculations'!$D$7="Yes",'Mass Ion Calculations'!$D$18+'AA Exact Masses'!$Q$2-'Mass Ion Calculations'!$C$15-'Mass Ion Calculations'!$C35-'Mass Ion Calculations'!$D$5,'Mass Ion Calculations'!$F$18+'AA Exact Masses'!$Q$2-'Mass Ion Calculations'!$C$15-'Mass Ion Calculations'!$C35-'Mass Ion Calculations'!$D$5),IF('Mass Ion Calculations'!$D$7="Yes", 'Mass Ion Calculations'!$D$15+'AA Exact Masses'!$Q$2-'Mass Ion Calculations'!$C$15-'Mass Ion Calculations'!$C35-'Mass Ion Calculations'!$D$5,'Mass Ion Calculations'!$F$15+'AA Exact Masses'!$Q$2-'Mass Ion Calculations'!$C$15-'Mass Ion Calculations'!$C35-'Mass Ion Calculations'!$D$5)))</f>
        <v/>
      </c>
      <c r="N34" s="3" t="str">
        <f>IF(OR($B34="",N$3=""),"",IF('Mass Ion Calculations'!$D$6="Yes",IF('Mass Ion Calculations'!$D$7="Yes",'Mass Ion Calculations'!$D$18+'AA Exact Masses'!$Q$2-'Mass Ion Calculations'!$C$16-'Mass Ion Calculations'!$C35-'Mass Ion Calculations'!$D$5,'Mass Ion Calculations'!$F$18+'AA Exact Masses'!$Q$2-'Mass Ion Calculations'!$C$16-'Mass Ion Calculations'!$C35-'Mass Ion Calculations'!$D$5),IF('Mass Ion Calculations'!$D$7="Yes", 'Mass Ion Calculations'!$D$15+'AA Exact Masses'!$Q$2-'Mass Ion Calculations'!$C$16-'Mass Ion Calculations'!$C35-'Mass Ion Calculations'!$D$5,'Mass Ion Calculations'!$F$15+'AA Exact Masses'!$Q$2-'Mass Ion Calculations'!$C$16-'Mass Ion Calculations'!$C35-'Mass Ion Calculations'!$D$5)))</f>
        <v/>
      </c>
      <c r="O34" s="3" t="str">
        <f>IF(OR($B34="",O$3=""),"",IF('Mass Ion Calculations'!$D$6="Yes",IF('Mass Ion Calculations'!$D$7="Yes",'Mass Ion Calculations'!$D$18+'AA Exact Masses'!$Q$2-'Mass Ion Calculations'!$C$17-'Mass Ion Calculations'!$C35-'Mass Ion Calculations'!$D$5,'Mass Ion Calculations'!$F$18+'AA Exact Masses'!$Q$2-'Mass Ion Calculations'!$C$17-'Mass Ion Calculations'!$C35-'Mass Ion Calculations'!$D$5),IF('Mass Ion Calculations'!$D$7="Yes", 'Mass Ion Calculations'!$D$15+'AA Exact Masses'!$Q$2-'Mass Ion Calculations'!$C$17-'Mass Ion Calculations'!$C35-'Mass Ion Calculations'!$D$5,'Mass Ion Calculations'!$F$15+'AA Exact Masses'!$Q$2-'Mass Ion Calculations'!$C$17-'Mass Ion Calculations'!$C35-'Mass Ion Calculations'!$D$5)))</f>
        <v/>
      </c>
      <c r="P34" s="3" t="str">
        <f>IF(OR($B34="",P$3=""),"",IF('Mass Ion Calculations'!$D$6="Yes",IF('Mass Ion Calculations'!$D$7="Yes",'Mass Ion Calculations'!$D$18+'AA Exact Masses'!$Q$2-'Mass Ion Calculations'!$C$18-'Mass Ion Calculations'!$C35-'Mass Ion Calculations'!$D$5,'Mass Ion Calculations'!$F$18+'AA Exact Masses'!$Q$2-'Mass Ion Calculations'!$C$18-'Mass Ion Calculations'!$C35-'Mass Ion Calculations'!$D$5),IF('Mass Ion Calculations'!$D$7="Yes", 'Mass Ion Calculations'!$D$15+'AA Exact Masses'!$Q$2-'Mass Ion Calculations'!$C$18-'Mass Ion Calculations'!$C35-'Mass Ion Calculations'!$D$5,'Mass Ion Calculations'!$F$15+'AA Exact Masses'!$Q$2-'Mass Ion Calculations'!$C$18-'Mass Ion Calculations'!$C35-'Mass Ion Calculations'!$D$5)))</f>
        <v/>
      </c>
      <c r="Q34" s="3" t="str">
        <f>IF(OR($B34="",Q$3=""),"",IF('Mass Ion Calculations'!$D$6="Yes",IF('Mass Ion Calculations'!$D$7="Yes",'Mass Ion Calculations'!$D$18+'AA Exact Masses'!$Q$2-'Mass Ion Calculations'!$C$19-'Mass Ion Calculations'!$C35-'Mass Ion Calculations'!$D$5,'Mass Ion Calculations'!$F$18+'AA Exact Masses'!$Q$2-'Mass Ion Calculations'!$C$19-'Mass Ion Calculations'!$C35-'Mass Ion Calculations'!$D$5),IF('Mass Ion Calculations'!$D$7="Yes", 'Mass Ion Calculations'!$D$15+'AA Exact Masses'!$Q$2-'Mass Ion Calculations'!$C$19-'Mass Ion Calculations'!$C35-'Mass Ion Calculations'!$D$5,'Mass Ion Calculations'!$F$15+'AA Exact Masses'!$Q$2-'Mass Ion Calculations'!$C$19-'Mass Ion Calculations'!$C35-'Mass Ion Calculations'!$D$5)))</f>
        <v/>
      </c>
      <c r="R34" s="3" t="str">
        <f>IF(OR($B34="",R$3=""),"",IF('Mass Ion Calculations'!$D$6="Yes",IF('Mass Ion Calculations'!$D$7="Yes",'Mass Ion Calculations'!$D$18+'AA Exact Masses'!$Q$2-'Mass Ion Calculations'!$C$20-'Mass Ion Calculations'!$C35-'Mass Ion Calculations'!$D$5,'Mass Ion Calculations'!$F$18+'AA Exact Masses'!$Q$2-'Mass Ion Calculations'!$C$20-'Mass Ion Calculations'!$C35-'Mass Ion Calculations'!$D$5),IF('Mass Ion Calculations'!$D$7="Yes", 'Mass Ion Calculations'!$D$15+'AA Exact Masses'!$Q$2-'Mass Ion Calculations'!$C$20-'Mass Ion Calculations'!$C35-'Mass Ion Calculations'!$D$5,'Mass Ion Calculations'!$F$15+'AA Exact Masses'!$Q$2-'Mass Ion Calculations'!$C$20-'Mass Ion Calculations'!$C35-'Mass Ion Calculations'!$D$5)))</f>
        <v/>
      </c>
      <c r="S34" s="3" t="str">
        <f>IF(OR($B34="",S$3=""),"",IF('Mass Ion Calculations'!$D$6="Yes",IF('Mass Ion Calculations'!$D$7="Yes",'Mass Ion Calculations'!$D$18+'AA Exact Masses'!$Q$2-'Mass Ion Calculations'!$C$21-'Mass Ion Calculations'!$C35-'Mass Ion Calculations'!$D$5,'Mass Ion Calculations'!$F$18+'AA Exact Masses'!$Q$2-'Mass Ion Calculations'!$C$21-'Mass Ion Calculations'!$C35-'Mass Ion Calculations'!$D$5),IF('Mass Ion Calculations'!$D$7="Yes", 'Mass Ion Calculations'!$D$15+'AA Exact Masses'!$Q$2-'Mass Ion Calculations'!$C$21-'Mass Ion Calculations'!$C35-'Mass Ion Calculations'!$D$5,'Mass Ion Calculations'!$F$15+'AA Exact Masses'!$Q$2-'Mass Ion Calculations'!$C$21-'Mass Ion Calculations'!$C35-'Mass Ion Calculations'!$D$5)))</f>
        <v/>
      </c>
      <c r="T34" s="3" t="str">
        <f>IF(OR($B34="",T$3=""),"",IF('Mass Ion Calculations'!$D$6="Yes",IF('Mass Ion Calculations'!$D$7="Yes",'Mass Ion Calculations'!$D$18+'AA Exact Masses'!$Q$2-'Mass Ion Calculations'!$C$22-'Mass Ion Calculations'!$C35-'Mass Ion Calculations'!$D$5,'Mass Ion Calculations'!$F$18+'AA Exact Masses'!$Q$2-'Mass Ion Calculations'!$C$22-'Mass Ion Calculations'!$C35-'Mass Ion Calculations'!$D$5),IF('Mass Ion Calculations'!$D$7="Yes", 'Mass Ion Calculations'!$D$15+'AA Exact Masses'!$Q$2-'Mass Ion Calculations'!$C$22-'Mass Ion Calculations'!$C35-'Mass Ion Calculations'!$D$5,'Mass Ion Calculations'!$F$15+'AA Exact Masses'!$Q$2-'Mass Ion Calculations'!$C$22-'Mass Ion Calculations'!$C35-'Mass Ion Calculations'!$D$5)))</f>
        <v/>
      </c>
      <c r="U34" s="3" t="str">
        <f>IF(OR($B34="",U$3=""),"",IF('Mass Ion Calculations'!$D$6="Yes",IF('Mass Ion Calculations'!$D$7="Yes",'Mass Ion Calculations'!$D$18+'AA Exact Masses'!$Q$2-'Mass Ion Calculations'!$C$23-'Mass Ion Calculations'!$C35-'Mass Ion Calculations'!$D$5,'Mass Ion Calculations'!$F$18+'AA Exact Masses'!$Q$2-'Mass Ion Calculations'!$C$23-'Mass Ion Calculations'!$C35-'Mass Ion Calculations'!$D$5),IF('Mass Ion Calculations'!$D$7="Yes", 'Mass Ion Calculations'!$D$15+'AA Exact Masses'!$Q$2-'Mass Ion Calculations'!$C$23-'Mass Ion Calculations'!$C35-'Mass Ion Calculations'!$D$5,'Mass Ion Calculations'!$F$15+'AA Exact Masses'!$Q$2-'Mass Ion Calculations'!$C$23-'Mass Ion Calculations'!$C35-'Mass Ion Calculations'!$D$5)))</f>
        <v/>
      </c>
      <c r="V34" s="3" t="str">
        <f>IF(OR($B34="",V$3=""),"",IF('Mass Ion Calculations'!$D$6="Yes",IF('Mass Ion Calculations'!$D$7="Yes",'Mass Ion Calculations'!$D$18+'AA Exact Masses'!$Q$2-'Mass Ion Calculations'!$C$24-'Mass Ion Calculations'!$C35-'Mass Ion Calculations'!$D$5,'Mass Ion Calculations'!$F$18+'AA Exact Masses'!$Q$2-'Mass Ion Calculations'!$C$24-'Mass Ion Calculations'!$C35-'Mass Ion Calculations'!$D$5),IF('Mass Ion Calculations'!$D$7="Yes", 'Mass Ion Calculations'!$D$15+'AA Exact Masses'!$Q$2-'Mass Ion Calculations'!$C$24-'Mass Ion Calculations'!$C35-'Mass Ion Calculations'!$D$5,'Mass Ion Calculations'!$F$15+'AA Exact Masses'!$Q$2-'Mass Ion Calculations'!$C$24-'Mass Ion Calculations'!$C35-'Mass Ion Calculations'!$D$5)))</f>
        <v/>
      </c>
      <c r="W34" s="3" t="str">
        <f>IF(OR($B34="",W$3=""),"",IF('Mass Ion Calculations'!$D$6="Yes",IF('Mass Ion Calculations'!$D$7="Yes",'Mass Ion Calculations'!$D$18+'AA Exact Masses'!$Q$2-'Mass Ion Calculations'!$C$25-'Mass Ion Calculations'!$C35-'Mass Ion Calculations'!$D$5,'Mass Ion Calculations'!$F$18+'AA Exact Masses'!$Q$2-'Mass Ion Calculations'!$C$25-'Mass Ion Calculations'!$C35-'Mass Ion Calculations'!$D$5),IF('Mass Ion Calculations'!$D$7="Yes", 'Mass Ion Calculations'!$D$15+'AA Exact Masses'!$Q$2-'Mass Ion Calculations'!$C$25-'Mass Ion Calculations'!$C35-'Mass Ion Calculations'!$D$5,'Mass Ion Calculations'!$F$15+'AA Exact Masses'!$Q$2-'Mass Ion Calculations'!$C$25-'Mass Ion Calculations'!$C35-'Mass Ion Calculations'!$D$5)))</f>
        <v/>
      </c>
      <c r="X34" s="3" t="str">
        <f>IF(OR($B34="",X$3=""),"",IF('Mass Ion Calculations'!$D$6="Yes",IF('Mass Ion Calculations'!$D$7="Yes",'Mass Ion Calculations'!$D$18+'AA Exact Masses'!$Q$2-'Mass Ion Calculations'!$C$26-'Mass Ion Calculations'!$C35-'Mass Ion Calculations'!$D$5,'Mass Ion Calculations'!$F$18+'AA Exact Masses'!$Q$2-'Mass Ion Calculations'!$C$26-'Mass Ion Calculations'!$C35-'Mass Ion Calculations'!$D$5),IF('Mass Ion Calculations'!$D$7="Yes", 'Mass Ion Calculations'!$D$15+'AA Exact Masses'!$Q$2-'Mass Ion Calculations'!$C$26-'Mass Ion Calculations'!$C35-'Mass Ion Calculations'!$D$5,'Mass Ion Calculations'!$F$15+'AA Exact Masses'!$Q$2-'Mass Ion Calculations'!$C$26-'Mass Ion Calculations'!$C35-'Mass Ion Calculations'!$D$5)))</f>
        <v/>
      </c>
      <c r="Y34" s="3" t="str">
        <f>IF(OR($B34="",Y$3=""),"",IF('Mass Ion Calculations'!$D$6="Yes",('Mass Ion Calculations'!$D$15+'AA Exact Masses'!$Q$2-'Mass Ion Calculations'!$C$7-'Mass Ion Calculations'!$C35-'Mass Ion Calculations'!$D$5-18.01),('Mass Ion Calculations'!$D$15+'AA Exact Masses'!$Q$2-'Mass Ion Calculations'!$C$7-'Mass Ion Calculations'!$C35-'Mass Ion Calculations'!$D$5)))</f>
        <v/>
      </c>
      <c r="Z34" s="3" t="str">
        <f>IF(OR($B34="",Z$3=""),"",IF('Mass Ion Calculations'!$D$6="Yes",('Mass Ion Calculations'!$D$15+'AA Exact Masses'!$Q$2-'Mass Ion Calculations'!$C$7-'Mass Ion Calculations'!$C35-'Mass Ion Calculations'!$D$5-18.01),('Mass Ion Calculations'!$D$15+'AA Exact Masses'!$Q$2-'Mass Ion Calculations'!$C$7-'Mass Ion Calculations'!$C35-'Mass Ion Calculations'!$D$5)))</f>
        <v/>
      </c>
    </row>
    <row r="35" spans="3:26" x14ac:dyDescent="0.25">
      <c r="C35" s="3" t="str">
        <f>IF(OR($B35="",C$3=""),"",IF('Mass Ion Calculations'!$D$6="Yes",IF('Mass Ion Calculations'!$D$7="Yes",'Mass Ion Calculations'!$D$18+'AA Exact Masses'!$Q$2-'Mass Ion Calculations'!$C$5-'Mass Ion Calculations'!$C36-'Mass Ion Calculations'!$D$5,'Mass Ion Calculations'!$F$18+'AA Exact Masses'!$Q$2-'Mass Ion Calculations'!C36-'Mass Ion Calculations'!C36-'Mass Ion Calculations'!$D$5),IF('Mass Ion Calculations'!$D$7="Yes", 'Mass Ion Calculations'!$D$15+'AA Exact Masses'!$Q$2-'Mass Ion Calculations'!$C$5-'Mass Ion Calculations'!$C36-'Mass Ion Calculations'!$D$5,'Mass Ion Calculations'!$F$15+'AA Exact Masses'!$Q$2-'Mass Ion Calculations'!C36-'Mass Ion Calculations'!C36-'Mass Ion Calculations'!$D$5)))</f>
        <v/>
      </c>
      <c r="D35" s="3" t="str">
        <f>IF(OR($B35="",D$3=""),"",IF('Mass Ion Calculations'!$D$6="Yes",IF('Mass Ion Calculations'!$D$7="Yes",'Mass Ion Calculations'!$D$18+'AA Exact Masses'!$Q$2-'Mass Ion Calculations'!$C$6-'Mass Ion Calculations'!$C36-'Mass Ion Calculations'!$D$5,'Mass Ion Calculations'!$F$18+'AA Exact Masses'!$Q$2-'Mass Ion Calculations'!$C$6-'Mass Ion Calculations'!$C36-'Mass Ion Calculations'!$D$5),IF('Mass Ion Calculations'!$D$7="Yes", 'Mass Ion Calculations'!$D$15+'AA Exact Masses'!$Q$2-'Mass Ion Calculations'!$C$6-'Mass Ion Calculations'!$C36-'Mass Ion Calculations'!$D$5,'Mass Ion Calculations'!$F$15+'AA Exact Masses'!$Q$2-'Mass Ion Calculations'!$C$6-'Mass Ion Calculations'!$C36-'Mass Ion Calculations'!$D$5)))</f>
        <v/>
      </c>
      <c r="E35" s="3" t="str">
        <f>IF(OR($B35="",E$3=""),"",IF('Mass Ion Calculations'!$D$6="Yes",IF('Mass Ion Calculations'!$D$7="Yes",'Mass Ion Calculations'!$D$18+'AA Exact Masses'!$Q$2-'Mass Ion Calculations'!$C$7-'Mass Ion Calculations'!$C36-'Mass Ion Calculations'!$D$5,'Mass Ion Calculations'!$F$18+'AA Exact Masses'!$Q$2-'Mass Ion Calculations'!$C$7-'Mass Ion Calculations'!$C36-'Mass Ion Calculations'!$D$5),IF('Mass Ion Calculations'!$D$7="Yes", 'Mass Ion Calculations'!$D$15+'AA Exact Masses'!$Q$2-'Mass Ion Calculations'!$C$7-'Mass Ion Calculations'!$C36-'Mass Ion Calculations'!$D$5,'Mass Ion Calculations'!$F$15+'AA Exact Masses'!$Q$2-'Mass Ion Calculations'!$C$7-'Mass Ion Calculations'!$C36-'Mass Ion Calculations'!$D$5)))</f>
        <v/>
      </c>
      <c r="F35" s="3" t="str">
        <f>IF(OR($B35="",F$3=""),"",IF('Mass Ion Calculations'!$D$6="Yes",IF('Mass Ion Calculations'!$D$7="Yes",'Mass Ion Calculations'!$D$18+'AA Exact Masses'!$Q$2-'Mass Ion Calculations'!$C$8-'Mass Ion Calculations'!$C36-'Mass Ion Calculations'!$D$5,'Mass Ion Calculations'!$F$18+'AA Exact Masses'!$Q$2-'Mass Ion Calculations'!$C$8-'Mass Ion Calculations'!$C36-'Mass Ion Calculations'!$D$5),IF('Mass Ion Calculations'!$D$7="Yes", 'Mass Ion Calculations'!$D$15+'AA Exact Masses'!$Q$2-'Mass Ion Calculations'!$C$8-'Mass Ion Calculations'!$C36-'Mass Ion Calculations'!$D$5,'Mass Ion Calculations'!$F$15+'AA Exact Masses'!$Q$2-'Mass Ion Calculations'!$C$8-'Mass Ion Calculations'!$C36-'Mass Ion Calculations'!$D$5)))</f>
        <v/>
      </c>
      <c r="G35" s="3" t="str">
        <f>IF(OR($B35="",G$3=""),"",IF('Mass Ion Calculations'!$D$6="Yes",IF('Mass Ion Calculations'!$D$7="Yes",'Mass Ion Calculations'!$D$18+'AA Exact Masses'!$Q$2-'Mass Ion Calculations'!$C$9-'Mass Ion Calculations'!$C36-'Mass Ion Calculations'!$D$5,'Mass Ion Calculations'!$F$18+'AA Exact Masses'!$Q$2-'Mass Ion Calculations'!$C$9-'Mass Ion Calculations'!$C36-'Mass Ion Calculations'!$D$5),IF('Mass Ion Calculations'!$D$7="Yes", 'Mass Ion Calculations'!$D$15+'AA Exact Masses'!$Q$2-'Mass Ion Calculations'!$C$9-'Mass Ion Calculations'!$C36-'Mass Ion Calculations'!$D$5,'Mass Ion Calculations'!$F$15+'AA Exact Masses'!$Q$2-'Mass Ion Calculations'!$C$9-'Mass Ion Calculations'!$C36-'Mass Ion Calculations'!$D$5)))</f>
        <v/>
      </c>
      <c r="H35" s="3" t="str">
        <f>IF(OR($B35="",H$3=""),"",IF('Mass Ion Calculations'!$D$6="Yes",IF('Mass Ion Calculations'!$D$7="Yes",'Mass Ion Calculations'!$D$18+'AA Exact Masses'!$Q$2-'Mass Ion Calculations'!$C$10-'Mass Ion Calculations'!$C36-'Mass Ion Calculations'!$D$5,'Mass Ion Calculations'!$F$18+'AA Exact Masses'!$Q$2-'Mass Ion Calculations'!$C$10-'Mass Ion Calculations'!$C36-'Mass Ion Calculations'!$D$5),IF('Mass Ion Calculations'!$D$7="Yes", 'Mass Ion Calculations'!$D$15+'AA Exact Masses'!$Q$2-'Mass Ion Calculations'!$C$10-'Mass Ion Calculations'!$C36-'Mass Ion Calculations'!$D$5,'Mass Ion Calculations'!$F$15+'AA Exact Masses'!$Q$2-'Mass Ion Calculations'!$C$10-'Mass Ion Calculations'!$C36-'Mass Ion Calculations'!$D$5)))</f>
        <v/>
      </c>
      <c r="I35" s="3" t="str">
        <f>IF(OR($B35="",I$3=""),"",IF('Mass Ion Calculations'!$D$6="Yes",IF('Mass Ion Calculations'!$D$7="Yes",'Mass Ion Calculations'!$D$18+'AA Exact Masses'!$Q$2-'Mass Ion Calculations'!$C$11-'Mass Ion Calculations'!$C36-'Mass Ion Calculations'!$D$5,'Mass Ion Calculations'!$F$18+'AA Exact Masses'!$Q$2-'Mass Ion Calculations'!$C$11-'Mass Ion Calculations'!$C36-'Mass Ion Calculations'!$D$5),IF('Mass Ion Calculations'!$D$7="Yes", 'Mass Ion Calculations'!$D$15+'AA Exact Masses'!$Q$2-'Mass Ion Calculations'!$C$11-'Mass Ion Calculations'!$C36-'Mass Ion Calculations'!$D$5,'Mass Ion Calculations'!$F$15+'AA Exact Masses'!$Q$2-'Mass Ion Calculations'!$C$11-'Mass Ion Calculations'!$C36-'Mass Ion Calculations'!$D$5)))</f>
        <v/>
      </c>
      <c r="J35" s="3" t="str">
        <f>IF(OR($B35="",J$3=""),"",IF('Mass Ion Calculations'!$D$6="Yes",IF('Mass Ion Calculations'!$D$7="Yes",'Mass Ion Calculations'!$D$18+'AA Exact Masses'!$Q$2-'Mass Ion Calculations'!$C$12-'Mass Ion Calculations'!$C36-'Mass Ion Calculations'!$D$5,'Mass Ion Calculations'!$F$18+'AA Exact Masses'!$Q$2-'Mass Ion Calculations'!$C$12-'Mass Ion Calculations'!$C36-'Mass Ion Calculations'!$D$5),IF('Mass Ion Calculations'!$D$7="Yes", 'Mass Ion Calculations'!$D$15+'AA Exact Masses'!$Q$2-'Mass Ion Calculations'!$C$12-'Mass Ion Calculations'!$C36-'Mass Ion Calculations'!$D$5,'Mass Ion Calculations'!$F$15+'AA Exact Masses'!$Q$2-'Mass Ion Calculations'!$C$12-'Mass Ion Calculations'!$C36-'Mass Ion Calculations'!$D$5)))</f>
        <v/>
      </c>
      <c r="K35" s="3" t="str">
        <f>IF(OR($B35="",K$3=""),"",IF('Mass Ion Calculations'!$D$6="Yes",IF('Mass Ion Calculations'!$D$7="Yes",'Mass Ion Calculations'!$D$18+'AA Exact Masses'!$Q$2-'Mass Ion Calculations'!$C$13-'Mass Ion Calculations'!$C36-'Mass Ion Calculations'!$D$5,'Mass Ion Calculations'!$F$18+'AA Exact Masses'!$Q$2-'Mass Ion Calculations'!$C$13-'Mass Ion Calculations'!$C36-'Mass Ion Calculations'!$D$5),IF('Mass Ion Calculations'!$D$7="Yes", 'Mass Ion Calculations'!$D$15+'AA Exact Masses'!$Q$2-'Mass Ion Calculations'!$C$13-'Mass Ion Calculations'!$C36-'Mass Ion Calculations'!$D$5,'Mass Ion Calculations'!$F$15+'AA Exact Masses'!$Q$2-'Mass Ion Calculations'!$C$13-'Mass Ion Calculations'!$C36-'Mass Ion Calculations'!$D$5)))</f>
        <v/>
      </c>
      <c r="L35" s="3" t="str">
        <f>IF(OR($B35="",L$3=""),"",IF('Mass Ion Calculations'!$D$6="Yes",IF('Mass Ion Calculations'!$D$7="Yes",'Mass Ion Calculations'!$D$18+'AA Exact Masses'!$Q$2-'Mass Ion Calculations'!$C$14-'Mass Ion Calculations'!$C36-'Mass Ion Calculations'!$D$5,'Mass Ion Calculations'!$F$18+'AA Exact Masses'!$Q$2-'Mass Ion Calculations'!$C$14-'Mass Ion Calculations'!$C36-'Mass Ion Calculations'!$D$5),IF('Mass Ion Calculations'!$D$7="Yes", 'Mass Ion Calculations'!$D$15+'AA Exact Masses'!$Q$2-'Mass Ion Calculations'!$C$14-'Mass Ion Calculations'!$C36-'Mass Ion Calculations'!$D$5,'Mass Ion Calculations'!$F$15+'AA Exact Masses'!$Q$2-'Mass Ion Calculations'!$C$14-'Mass Ion Calculations'!$C36-'Mass Ion Calculations'!$D$5)))</f>
        <v/>
      </c>
      <c r="M35" s="3" t="str">
        <f>IF(OR($B35="",M$3=""),"",IF('Mass Ion Calculations'!$D$6="Yes",IF('Mass Ion Calculations'!$D$7="Yes",'Mass Ion Calculations'!$D$18+'AA Exact Masses'!$Q$2-'Mass Ion Calculations'!$C$15-'Mass Ion Calculations'!$C36-'Mass Ion Calculations'!$D$5,'Mass Ion Calculations'!$F$18+'AA Exact Masses'!$Q$2-'Mass Ion Calculations'!$C$15-'Mass Ion Calculations'!$C36-'Mass Ion Calculations'!$D$5),IF('Mass Ion Calculations'!$D$7="Yes", 'Mass Ion Calculations'!$D$15+'AA Exact Masses'!$Q$2-'Mass Ion Calculations'!$C$15-'Mass Ion Calculations'!$C36-'Mass Ion Calculations'!$D$5,'Mass Ion Calculations'!$F$15+'AA Exact Masses'!$Q$2-'Mass Ion Calculations'!$C$15-'Mass Ion Calculations'!$C36-'Mass Ion Calculations'!$D$5)))</f>
        <v/>
      </c>
      <c r="N35" s="3" t="str">
        <f>IF(OR($B35="",N$3=""),"",IF('Mass Ion Calculations'!$D$6="Yes",IF('Mass Ion Calculations'!$D$7="Yes",'Mass Ion Calculations'!$D$18+'AA Exact Masses'!$Q$2-'Mass Ion Calculations'!$C$16-'Mass Ion Calculations'!$C36-'Mass Ion Calculations'!$D$5,'Mass Ion Calculations'!$F$18+'AA Exact Masses'!$Q$2-'Mass Ion Calculations'!$C$16-'Mass Ion Calculations'!$C36-'Mass Ion Calculations'!$D$5),IF('Mass Ion Calculations'!$D$7="Yes", 'Mass Ion Calculations'!$D$15+'AA Exact Masses'!$Q$2-'Mass Ion Calculations'!$C$16-'Mass Ion Calculations'!$C36-'Mass Ion Calculations'!$D$5,'Mass Ion Calculations'!$F$15+'AA Exact Masses'!$Q$2-'Mass Ion Calculations'!$C$16-'Mass Ion Calculations'!$C36-'Mass Ion Calculations'!$D$5)))</f>
        <v/>
      </c>
      <c r="O35" s="3" t="str">
        <f>IF(OR($B35="",O$3=""),"",IF('Mass Ion Calculations'!$D$6="Yes",IF('Mass Ion Calculations'!$D$7="Yes",'Mass Ion Calculations'!$D$18+'AA Exact Masses'!$Q$2-'Mass Ion Calculations'!$C$17-'Mass Ion Calculations'!$C36-'Mass Ion Calculations'!$D$5,'Mass Ion Calculations'!$F$18+'AA Exact Masses'!$Q$2-'Mass Ion Calculations'!$C$17-'Mass Ion Calculations'!$C36-'Mass Ion Calculations'!$D$5),IF('Mass Ion Calculations'!$D$7="Yes", 'Mass Ion Calculations'!$D$15+'AA Exact Masses'!$Q$2-'Mass Ion Calculations'!$C$17-'Mass Ion Calculations'!$C36-'Mass Ion Calculations'!$D$5,'Mass Ion Calculations'!$F$15+'AA Exact Masses'!$Q$2-'Mass Ion Calculations'!$C$17-'Mass Ion Calculations'!$C36-'Mass Ion Calculations'!$D$5)))</f>
        <v/>
      </c>
      <c r="P35" s="3" t="str">
        <f>IF(OR($B35="",P$3=""),"",IF('Mass Ion Calculations'!$D$6="Yes",IF('Mass Ion Calculations'!$D$7="Yes",'Mass Ion Calculations'!$D$18+'AA Exact Masses'!$Q$2-'Mass Ion Calculations'!$C$18-'Mass Ion Calculations'!$C36-'Mass Ion Calculations'!$D$5,'Mass Ion Calculations'!$F$18+'AA Exact Masses'!$Q$2-'Mass Ion Calculations'!$C$18-'Mass Ion Calculations'!$C36-'Mass Ion Calculations'!$D$5),IF('Mass Ion Calculations'!$D$7="Yes", 'Mass Ion Calculations'!$D$15+'AA Exact Masses'!$Q$2-'Mass Ion Calculations'!$C$18-'Mass Ion Calculations'!$C36-'Mass Ion Calculations'!$D$5,'Mass Ion Calculations'!$F$15+'AA Exact Masses'!$Q$2-'Mass Ion Calculations'!$C$18-'Mass Ion Calculations'!$C36-'Mass Ion Calculations'!$D$5)))</f>
        <v/>
      </c>
      <c r="Q35" s="3" t="str">
        <f>IF(OR($B35="",Q$3=""),"",IF('Mass Ion Calculations'!$D$6="Yes",IF('Mass Ion Calculations'!$D$7="Yes",'Mass Ion Calculations'!$D$18+'AA Exact Masses'!$Q$2-'Mass Ion Calculations'!$C$19-'Mass Ion Calculations'!$C36-'Mass Ion Calculations'!$D$5,'Mass Ion Calculations'!$F$18+'AA Exact Masses'!$Q$2-'Mass Ion Calculations'!$C$19-'Mass Ion Calculations'!$C36-'Mass Ion Calculations'!$D$5),IF('Mass Ion Calculations'!$D$7="Yes", 'Mass Ion Calculations'!$D$15+'AA Exact Masses'!$Q$2-'Mass Ion Calculations'!$C$19-'Mass Ion Calculations'!$C36-'Mass Ion Calculations'!$D$5,'Mass Ion Calculations'!$F$15+'AA Exact Masses'!$Q$2-'Mass Ion Calculations'!$C$19-'Mass Ion Calculations'!$C36-'Mass Ion Calculations'!$D$5)))</f>
        <v/>
      </c>
      <c r="R35" s="3" t="str">
        <f>IF(OR($B35="",R$3=""),"",IF('Mass Ion Calculations'!$D$6="Yes",IF('Mass Ion Calculations'!$D$7="Yes",'Mass Ion Calculations'!$D$18+'AA Exact Masses'!$Q$2-'Mass Ion Calculations'!$C$20-'Mass Ion Calculations'!$C36-'Mass Ion Calculations'!$D$5,'Mass Ion Calculations'!$F$18+'AA Exact Masses'!$Q$2-'Mass Ion Calculations'!$C$20-'Mass Ion Calculations'!$C36-'Mass Ion Calculations'!$D$5),IF('Mass Ion Calculations'!$D$7="Yes", 'Mass Ion Calculations'!$D$15+'AA Exact Masses'!$Q$2-'Mass Ion Calculations'!$C$20-'Mass Ion Calculations'!$C36-'Mass Ion Calculations'!$D$5,'Mass Ion Calculations'!$F$15+'AA Exact Masses'!$Q$2-'Mass Ion Calculations'!$C$20-'Mass Ion Calculations'!$C36-'Mass Ion Calculations'!$D$5)))</f>
        <v/>
      </c>
      <c r="S35" s="3" t="str">
        <f>IF(OR($B35="",S$3=""),"",IF('Mass Ion Calculations'!$D$6="Yes",IF('Mass Ion Calculations'!$D$7="Yes",'Mass Ion Calculations'!$D$18+'AA Exact Masses'!$Q$2-'Mass Ion Calculations'!$C$21-'Mass Ion Calculations'!$C36-'Mass Ion Calculations'!$D$5,'Mass Ion Calculations'!$F$18+'AA Exact Masses'!$Q$2-'Mass Ion Calculations'!$C$21-'Mass Ion Calculations'!$C36-'Mass Ion Calculations'!$D$5),IF('Mass Ion Calculations'!$D$7="Yes", 'Mass Ion Calculations'!$D$15+'AA Exact Masses'!$Q$2-'Mass Ion Calculations'!$C$21-'Mass Ion Calculations'!$C36-'Mass Ion Calculations'!$D$5,'Mass Ion Calculations'!$F$15+'AA Exact Masses'!$Q$2-'Mass Ion Calculations'!$C$21-'Mass Ion Calculations'!$C36-'Mass Ion Calculations'!$D$5)))</f>
        <v/>
      </c>
      <c r="T35" s="3" t="str">
        <f>IF(OR($B35="",T$3=""),"",IF('Mass Ion Calculations'!$D$6="Yes",IF('Mass Ion Calculations'!$D$7="Yes",'Mass Ion Calculations'!$D$18+'AA Exact Masses'!$Q$2-'Mass Ion Calculations'!$C$22-'Mass Ion Calculations'!$C36-'Mass Ion Calculations'!$D$5,'Mass Ion Calculations'!$F$18+'AA Exact Masses'!$Q$2-'Mass Ion Calculations'!$C$22-'Mass Ion Calculations'!$C36-'Mass Ion Calculations'!$D$5),IF('Mass Ion Calculations'!$D$7="Yes", 'Mass Ion Calculations'!$D$15+'AA Exact Masses'!$Q$2-'Mass Ion Calculations'!$C$22-'Mass Ion Calculations'!$C36-'Mass Ion Calculations'!$D$5,'Mass Ion Calculations'!$F$15+'AA Exact Masses'!$Q$2-'Mass Ion Calculations'!$C$22-'Mass Ion Calculations'!$C36-'Mass Ion Calculations'!$D$5)))</f>
        <v/>
      </c>
      <c r="U35" s="3" t="str">
        <f>IF(OR($B35="",U$3=""),"",IF('Mass Ion Calculations'!$D$6="Yes",IF('Mass Ion Calculations'!$D$7="Yes",'Mass Ion Calculations'!$D$18+'AA Exact Masses'!$Q$2-'Mass Ion Calculations'!$C$23-'Mass Ion Calculations'!$C36-'Mass Ion Calculations'!$D$5,'Mass Ion Calculations'!$F$18+'AA Exact Masses'!$Q$2-'Mass Ion Calculations'!$C$23-'Mass Ion Calculations'!$C36-'Mass Ion Calculations'!$D$5),IF('Mass Ion Calculations'!$D$7="Yes", 'Mass Ion Calculations'!$D$15+'AA Exact Masses'!$Q$2-'Mass Ion Calculations'!$C$23-'Mass Ion Calculations'!$C36-'Mass Ion Calculations'!$D$5,'Mass Ion Calculations'!$F$15+'AA Exact Masses'!$Q$2-'Mass Ion Calculations'!$C$23-'Mass Ion Calculations'!$C36-'Mass Ion Calculations'!$D$5)))</f>
        <v/>
      </c>
      <c r="V35" s="3" t="str">
        <f>IF(OR($B35="",V$3=""),"",IF('Mass Ion Calculations'!$D$6="Yes",IF('Mass Ion Calculations'!$D$7="Yes",'Mass Ion Calculations'!$D$18+'AA Exact Masses'!$Q$2-'Mass Ion Calculations'!$C$24-'Mass Ion Calculations'!$C36-'Mass Ion Calculations'!$D$5,'Mass Ion Calculations'!$F$18+'AA Exact Masses'!$Q$2-'Mass Ion Calculations'!$C$24-'Mass Ion Calculations'!$C36-'Mass Ion Calculations'!$D$5),IF('Mass Ion Calculations'!$D$7="Yes", 'Mass Ion Calculations'!$D$15+'AA Exact Masses'!$Q$2-'Mass Ion Calculations'!$C$24-'Mass Ion Calculations'!$C36-'Mass Ion Calculations'!$D$5,'Mass Ion Calculations'!$F$15+'AA Exact Masses'!$Q$2-'Mass Ion Calculations'!$C$24-'Mass Ion Calculations'!$C36-'Mass Ion Calculations'!$D$5)))</f>
        <v/>
      </c>
      <c r="W35" s="3" t="str">
        <f>IF(OR($B35="",W$3=""),"",IF('Mass Ion Calculations'!$D$6="Yes",IF('Mass Ion Calculations'!$D$7="Yes",'Mass Ion Calculations'!$D$18+'AA Exact Masses'!$Q$2-'Mass Ion Calculations'!$C$25-'Mass Ion Calculations'!$C36-'Mass Ion Calculations'!$D$5,'Mass Ion Calculations'!$F$18+'AA Exact Masses'!$Q$2-'Mass Ion Calculations'!$C$25-'Mass Ion Calculations'!$C36-'Mass Ion Calculations'!$D$5),IF('Mass Ion Calculations'!$D$7="Yes", 'Mass Ion Calculations'!$D$15+'AA Exact Masses'!$Q$2-'Mass Ion Calculations'!$C$25-'Mass Ion Calculations'!$C36-'Mass Ion Calculations'!$D$5,'Mass Ion Calculations'!$F$15+'AA Exact Masses'!$Q$2-'Mass Ion Calculations'!$C$25-'Mass Ion Calculations'!$C36-'Mass Ion Calculations'!$D$5)))</f>
        <v/>
      </c>
      <c r="X35" s="3" t="str">
        <f>IF(OR($B35="",X$3=""),"",IF('Mass Ion Calculations'!$D$6="Yes",IF('Mass Ion Calculations'!$D$7="Yes",'Mass Ion Calculations'!$D$18+'AA Exact Masses'!$Q$2-'Mass Ion Calculations'!$C$26-'Mass Ion Calculations'!$C36-'Mass Ion Calculations'!$D$5,'Mass Ion Calculations'!$F$18+'AA Exact Masses'!$Q$2-'Mass Ion Calculations'!$C$26-'Mass Ion Calculations'!$C36-'Mass Ion Calculations'!$D$5),IF('Mass Ion Calculations'!$D$7="Yes", 'Mass Ion Calculations'!$D$15+'AA Exact Masses'!$Q$2-'Mass Ion Calculations'!$C$26-'Mass Ion Calculations'!$C36-'Mass Ion Calculations'!$D$5,'Mass Ion Calculations'!$F$15+'AA Exact Masses'!$Q$2-'Mass Ion Calculations'!$C$26-'Mass Ion Calculations'!$C36-'Mass Ion Calculations'!$D$5)))</f>
        <v/>
      </c>
      <c r="Y35" s="3" t="str">
        <f>IF(OR($B35="",Y$3=""),"",IF('Mass Ion Calculations'!$D$6="Yes",('Mass Ion Calculations'!$D$15+'AA Exact Masses'!$Q$2-'Mass Ion Calculations'!$C$7-'Mass Ion Calculations'!$C36-'Mass Ion Calculations'!$D$5-18.01),('Mass Ion Calculations'!$D$15+'AA Exact Masses'!$Q$2-'Mass Ion Calculations'!$C$7-'Mass Ion Calculations'!$C36-'Mass Ion Calculations'!$D$5)))</f>
        <v/>
      </c>
      <c r="Z35" s="3" t="str">
        <f>IF(OR($B35="",Z$3=""),"",IF('Mass Ion Calculations'!$D$6="Yes",('Mass Ion Calculations'!$D$15+'AA Exact Masses'!$Q$2-'Mass Ion Calculations'!$C$7-'Mass Ion Calculations'!$C36-'Mass Ion Calculations'!$D$5-18.01),('Mass Ion Calculations'!$D$15+'AA Exact Masses'!$Q$2-'Mass Ion Calculations'!$C$7-'Mass Ion Calculations'!$C36-'Mass Ion Calculations'!$D$5)))</f>
        <v/>
      </c>
    </row>
    <row r="36" spans="3:26" x14ac:dyDescent="0.25">
      <c r="C36" s="3" t="str">
        <f>IF(OR($B36="",C$3=""),"",IF('Mass Ion Calculations'!$D$6="Yes",IF('Mass Ion Calculations'!$D$7="Yes",'Mass Ion Calculations'!$D$18+'AA Exact Masses'!$Q$2-'Mass Ion Calculations'!$C$5-'Mass Ion Calculations'!$C37-'Mass Ion Calculations'!$D$5,'Mass Ion Calculations'!$F$18+'AA Exact Masses'!$Q$2-'Mass Ion Calculations'!C37-'Mass Ion Calculations'!C37-'Mass Ion Calculations'!$D$5),IF('Mass Ion Calculations'!$D$7="Yes", 'Mass Ion Calculations'!$D$15+'AA Exact Masses'!$Q$2-'Mass Ion Calculations'!$C$5-'Mass Ion Calculations'!$C37-'Mass Ion Calculations'!$D$5,'Mass Ion Calculations'!$F$15+'AA Exact Masses'!$Q$2-'Mass Ion Calculations'!C37-'Mass Ion Calculations'!C37-'Mass Ion Calculations'!$D$5)))</f>
        <v/>
      </c>
      <c r="D36" s="3" t="str">
        <f>IF(OR($B36="",D$3=""),"",IF('Mass Ion Calculations'!$D$6="Yes",IF('Mass Ion Calculations'!$D$7="Yes",'Mass Ion Calculations'!$D$18+'AA Exact Masses'!$Q$2-'Mass Ion Calculations'!$C$6-'Mass Ion Calculations'!$C37-'Mass Ion Calculations'!$D$5,'Mass Ion Calculations'!$F$18+'AA Exact Masses'!$Q$2-'Mass Ion Calculations'!$C$6-'Mass Ion Calculations'!$C37-'Mass Ion Calculations'!$D$5),IF('Mass Ion Calculations'!$D$7="Yes", 'Mass Ion Calculations'!$D$15+'AA Exact Masses'!$Q$2-'Mass Ion Calculations'!$C$6-'Mass Ion Calculations'!$C37-'Mass Ion Calculations'!$D$5,'Mass Ion Calculations'!$F$15+'AA Exact Masses'!$Q$2-'Mass Ion Calculations'!$C$6-'Mass Ion Calculations'!$C37-'Mass Ion Calculations'!$D$5)))</f>
        <v/>
      </c>
      <c r="E36" s="3" t="str">
        <f>IF(OR($B36="",E$3=""),"",IF('Mass Ion Calculations'!$D$6="Yes",IF('Mass Ion Calculations'!$D$7="Yes",'Mass Ion Calculations'!$D$18+'AA Exact Masses'!$Q$2-'Mass Ion Calculations'!$C$7-'Mass Ion Calculations'!$C37-'Mass Ion Calculations'!$D$5,'Mass Ion Calculations'!$F$18+'AA Exact Masses'!$Q$2-'Mass Ion Calculations'!$C$7-'Mass Ion Calculations'!$C37-'Mass Ion Calculations'!$D$5),IF('Mass Ion Calculations'!$D$7="Yes", 'Mass Ion Calculations'!$D$15+'AA Exact Masses'!$Q$2-'Mass Ion Calculations'!$C$7-'Mass Ion Calculations'!$C37-'Mass Ion Calculations'!$D$5,'Mass Ion Calculations'!$F$15+'AA Exact Masses'!$Q$2-'Mass Ion Calculations'!$C$7-'Mass Ion Calculations'!$C37-'Mass Ion Calculations'!$D$5)))</f>
        <v/>
      </c>
      <c r="F36" s="3" t="str">
        <f>IF(OR($B36="",F$3=""),"",IF('Mass Ion Calculations'!$D$6="Yes",IF('Mass Ion Calculations'!$D$7="Yes",'Mass Ion Calculations'!$D$18+'AA Exact Masses'!$Q$2-'Mass Ion Calculations'!$C$8-'Mass Ion Calculations'!$C37-'Mass Ion Calculations'!$D$5,'Mass Ion Calculations'!$F$18+'AA Exact Masses'!$Q$2-'Mass Ion Calculations'!$C$8-'Mass Ion Calculations'!$C37-'Mass Ion Calculations'!$D$5),IF('Mass Ion Calculations'!$D$7="Yes", 'Mass Ion Calculations'!$D$15+'AA Exact Masses'!$Q$2-'Mass Ion Calculations'!$C$8-'Mass Ion Calculations'!$C37-'Mass Ion Calculations'!$D$5,'Mass Ion Calculations'!$F$15+'AA Exact Masses'!$Q$2-'Mass Ion Calculations'!$C$8-'Mass Ion Calculations'!$C37-'Mass Ion Calculations'!$D$5)))</f>
        <v/>
      </c>
      <c r="G36" s="3" t="str">
        <f>IF(OR($B36="",G$3=""),"",IF('Mass Ion Calculations'!$D$6="Yes",IF('Mass Ion Calculations'!$D$7="Yes",'Mass Ion Calculations'!$D$18+'AA Exact Masses'!$Q$2-'Mass Ion Calculations'!$C$9-'Mass Ion Calculations'!$C37-'Mass Ion Calculations'!$D$5,'Mass Ion Calculations'!$F$18+'AA Exact Masses'!$Q$2-'Mass Ion Calculations'!$C$9-'Mass Ion Calculations'!$C37-'Mass Ion Calculations'!$D$5),IF('Mass Ion Calculations'!$D$7="Yes", 'Mass Ion Calculations'!$D$15+'AA Exact Masses'!$Q$2-'Mass Ion Calculations'!$C$9-'Mass Ion Calculations'!$C37-'Mass Ion Calculations'!$D$5,'Mass Ion Calculations'!$F$15+'AA Exact Masses'!$Q$2-'Mass Ion Calculations'!$C$9-'Mass Ion Calculations'!$C37-'Mass Ion Calculations'!$D$5)))</f>
        <v/>
      </c>
      <c r="H36" s="3" t="str">
        <f>IF(OR($B36="",H$3=""),"",IF('Mass Ion Calculations'!$D$6="Yes",IF('Mass Ion Calculations'!$D$7="Yes",'Mass Ion Calculations'!$D$18+'AA Exact Masses'!$Q$2-'Mass Ion Calculations'!$C$10-'Mass Ion Calculations'!$C37-'Mass Ion Calculations'!$D$5,'Mass Ion Calculations'!$F$18+'AA Exact Masses'!$Q$2-'Mass Ion Calculations'!$C$10-'Mass Ion Calculations'!$C37-'Mass Ion Calculations'!$D$5),IF('Mass Ion Calculations'!$D$7="Yes", 'Mass Ion Calculations'!$D$15+'AA Exact Masses'!$Q$2-'Mass Ion Calculations'!$C$10-'Mass Ion Calculations'!$C37-'Mass Ion Calculations'!$D$5,'Mass Ion Calculations'!$F$15+'AA Exact Masses'!$Q$2-'Mass Ion Calculations'!$C$10-'Mass Ion Calculations'!$C37-'Mass Ion Calculations'!$D$5)))</f>
        <v/>
      </c>
      <c r="I36" s="3" t="str">
        <f>IF(OR($B36="",I$3=""),"",IF('Mass Ion Calculations'!$D$6="Yes",IF('Mass Ion Calculations'!$D$7="Yes",'Mass Ion Calculations'!$D$18+'AA Exact Masses'!$Q$2-'Mass Ion Calculations'!$C$11-'Mass Ion Calculations'!$C37-'Mass Ion Calculations'!$D$5,'Mass Ion Calculations'!$F$18+'AA Exact Masses'!$Q$2-'Mass Ion Calculations'!$C$11-'Mass Ion Calculations'!$C37-'Mass Ion Calculations'!$D$5),IF('Mass Ion Calculations'!$D$7="Yes", 'Mass Ion Calculations'!$D$15+'AA Exact Masses'!$Q$2-'Mass Ion Calculations'!$C$11-'Mass Ion Calculations'!$C37-'Mass Ion Calculations'!$D$5,'Mass Ion Calculations'!$F$15+'AA Exact Masses'!$Q$2-'Mass Ion Calculations'!$C$11-'Mass Ion Calculations'!$C37-'Mass Ion Calculations'!$D$5)))</f>
        <v/>
      </c>
      <c r="J36" s="3" t="str">
        <f>IF(OR($B36="",J$3=""),"",IF('Mass Ion Calculations'!$D$6="Yes",IF('Mass Ion Calculations'!$D$7="Yes",'Mass Ion Calculations'!$D$18+'AA Exact Masses'!$Q$2-'Mass Ion Calculations'!$C$12-'Mass Ion Calculations'!$C37-'Mass Ion Calculations'!$D$5,'Mass Ion Calculations'!$F$18+'AA Exact Masses'!$Q$2-'Mass Ion Calculations'!$C$12-'Mass Ion Calculations'!$C37-'Mass Ion Calculations'!$D$5),IF('Mass Ion Calculations'!$D$7="Yes", 'Mass Ion Calculations'!$D$15+'AA Exact Masses'!$Q$2-'Mass Ion Calculations'!$C$12-'Mass Ion Calculations'!$C37-'Mass Ion Calculations'!$D$5,'Mass Ion Calculations'!$F$15+'AA Exact Masses'!$Q$2-'Mass Ion Calculations'!$C$12-'Mass Ion Calculations'!$C37-'Mass Ion Calculations'!$D$5)))</f>
        <v/>
      </c>
      <c r="K36" s="3" t="str">
        <f>IF(OR($B36="",K$3=""),"",IF('Mass Ion Calculations'!$D$6="Yes",IF('Mass Ion Calculations'!$D$7="Yes",'Mass Ion Calculations'!$D$18+'AA Exact Masses'!$Q$2-'Mass Ion Calculations'!$C$13-'Mass Ion Calculations'!$C37-'Mass Ion Calculations'!$D$5,'Mass Ion Calculations'!$F$18+'AA Exact Masses'!$Q$2-'Mass Ion Calculations'!$C$13-'Mass Ion Calculations'!$C37-'Mass Ion Calculations'!$D$5),IF('Mass Ion Calculations'!$D$7="Yes", 'Mass Ion Calculations'!$D$15+'AA Exact Masses'!$Q$2-'Mass Ion Calculations'!$C$13-'Mass Ion Calculations'!$C37-'Mass Ion Calculations'!$D$5,'Mass Ion Calculations'!$F$15+'AA Exact Masses'!$Q$2-'Mass Ion Calculations'!$C$13-'Mass Ion Calculations'!$C37-'Mass Ion Calculations'!$D$5)))</f>
        <v/>
      </c>
      <c r="L36" s="3" t="str">
        <f>IF(OR($B36="",L$3=""),"",IF('Mass Ion Calculations'!$D$6="Yes",IF('Mass Ion Calculations'!$D$7="Yes",'Mass Ion Calculations'!$D$18+'AA Exact Masses'!$Q$2-'Mass Ion Calculations'!$C$14-'Mass Ion Calculations'!$C37-'Mass Ion Calculations'!$D$5,'Mass Ion Calculations'!$F$18+'AA Exact Masses'!$Q$2-'Mass Ion Calculations'!$C$14-'Mass Ion Calculations'!$C37-'Mass Ion Calculations'!$D$5),IF('Mass Ion Calculations'!$D$7="Yes", 'Mass Ion Calculations'!$D$15+'AA Exact Masses'!$Q$2-'Mass Ion Calculations'!$C$14-'Mass Ion Calculations'!$C37-'Mass Ion Calculations'!$D$5,'Mass Ion Calculations'!$F$15+'AA Exact Masses'!$Q$2-'Mass Ion Calculations'!$C$14-'Mass Ion Calculations'!$C37-'Mass Ion Calculations'!$D$5)))</f>
        <v/>
      </c>
      <c r="M36" s="3" t="str">
        <f>IF(OR($B36="",M$3=""),"",IF('Mass Ion Calculations'!$D$6="Yes",IF('Mass Ion Calculations'!$D$7="Yes",'Mass Ion Calculations'!$D$18+'AA Exact Masses'!$Q$2-'Mass Ion Calculations'!$C$15-'Mass Ion Calculations'!$C37-'Mass Ion Calculations'!$D$5,'Mass Ion Calculations'!$F$18+'AA Exact Masses'!$Q$2-'Mass Ion Calculations'!$C$15-'Mass Ion Calculations'!$C37-'Mass Ion Calculations'!$D$5),IF('Mass Ion Calculations'!$D$7="Yes", 'Mass Ion Calculations'!$D$15+'AA Exact Masses'!$Q$2-'Mass Ion Calculations'!$C$15-'Mass Ion Calculations'!$C37-'Mass Ion Calculations'!$D$5,'Mass Ion Calculations'!$F$15+'AA Exact Masses'!$Q$2-'Mass Ion Calculations'!$C$15-'Mass Ion Calculations'!$C37-'Mass Ion Calculations'!$D$5)))</f>
        <v/>
      </c>
      <c r="N36" s="3" t="str">
        <f>IF(OR($B36="",N$3=""),"",IF('Mass Ion Calculations'!$D$6="Yes",IF('Mass Ion Calculations'!$D$7="Yes",'Mass Ion Calculations'!$D$18+'AA Exact Masses'!$Q$2-'Mass Ion Calculations'!$C$16-'Mass Ion Calculations'!$C37-'Mass Ion Calculations'!$D$5,'Mass Ion Calculations'!$F$18+'AA Exact Masses'!$Q$2-'Mass Ion Calculations'!$C$16-'Mass Ion Calculations'!$C37-'Mass Ion Calculations'!$D$5),IF('Mass Ion Calculations'!$D$7="Yes", 'Mass Ion Calculations'!$D$15+'AA Exact Masses'!$Q$2-'Mass Ion Calculations'!$C$16-'Mass Ion Calculations'!$C37-'Mass Ion Calculations'!$D$5,'Mass Ion Calculations'!$F$15+'AA Exact Masses'!$Q$2-'Mass Ion Calculations'!$C$16-'Mass Ion Calculations'!$C37-'Mass Ion Calculations'!$D$5)))</f>
        <v/>
      </c>
      <c r="O36" s="3" t="str">
        <f>IF(OR($B36="",O$3=""),"",IF('Mass Ion Calculations'!$D$6="Yes",IF('Mass Ion Calculations'!$D$7="Yes",'Mass Ion Calculations'!$D$18+'AA Exact Masses'!$Q$2-'Mass Ion Calculations'!$C$17-'Mass Ion Calculations'!$C37-'Mass Ion Calculations'!$D$5,'Mass Ion Calculations'!$F$18+'AA Exact Masses'!$Q$2-'Mass Ion Calculations'!$C$17-'Mass Ion Calculations'!$C37-'Mass Ion Calculations'!$D$5),IF('Mass Ion Calculations'!$D$7="Yes", 'Mass Ion Calculations'!$D$15+'AA Exact Masses'!$Q$2-'Mass Ion Calculations'!$C$17-'Mass Ion Calculations'!$C37-'Mass Ion Calculations'!$D$5,'Mass Ion Calculations'!$F$15+'AA Exact Masses'!$Q$2-'Mass Ion Calculations'!$C$17-'Mass Ion Calculations'!$C37-'Mass Ion Calculations'!$D$5)))</f>
        <v/>
      </c>
      <c r="P36" s="3" t="str">
        <f>IF(OR($B36="",P$3=""),"",IF('Mass Ion Calculations'!$D$6="Yes",IF('Mass Ion Calculations'!$D$7="Yes",'Mass Ion Calculations'!$D$18+'AA Exact Masses'!$Q$2-'Mass Ion Calculations'!$C$18-'Mass Ion Calculations'!$C37-'Mass Ion Calculations'!$D$5,'Mass Ion Calculations'!$F$18+'AA Exact Masses'!$Q$2-'Mass Ion Calculations'!$C$18-'Mass Ion Calculations'!$C37-'Mass Ion Calculations'!$D$5),IF('Mass Ion Calculations'!$D$7="Yes", 'Mass Ion Calculations'!$D$15+'AA Exact Masses'!$Q$2-'Mass Ion Calculations'!$C$18-'Mass Ion Calculations'!$C37-'Mass Ion Calculations'!$D$5,'Mass Ion Calculations'!$F$15+'AA Exact Masses'!$Q$2-'Mass Ion Calculations'!$C$18-'Mass Ion Calculations'!$C37-'Mass Ion Calculations'!$D$5)))</f>
        <v/>
      </c>
      <c r="Q36" s="3" t="str">
        <f>IF(OR($B36="",Q$3=""),"",IF('Mass Ion Calculations'!$D$6="Yes",IF('Mass Ion Calculations'!$D$7="Yes",'Mass Ion Calculations'!$D$18+'AA Exact Masses'!$Q$2-'Mass Ion Calculations'!$C$19-'Mass Ion Calculations'!$C37-'Mass Ion Calculations'!$D$5,'Mass Ion Calculations'!$F$18+'AA Exact Masses'!$Q$2-'Mass Ion Calculations'!$C$19-'Mass Ion Calculations'!$C37-'Mass Ion Calculations'!$D$5),IF('Mass Ion Calculations'!$D$7="Yes", 'Mass Ion Calculations'!$D$15+'AA Exact Masses'!$Q$2-'Mass Ion Calculations'!$C$19-'Mass Ion Calculations'!$C37-'Mass Ion Calculations'!$D$5,'Mass Ion Calculations'!$F$15+'AA Exact Masses'!$Q$2-'Mass Ion Calculations'!$C$19-'Mass Ion Calculations'!$C37-'Mass Ion Calculations'!$D$5)))</f>
        <v/>
      </c>
      <c r="R36" s="3" t="str">
        <f>IF(OR($B36="",R$3=""),"",IF('Mass Ion Calculations'!$D$6="Yes",IF('Mass Ion Calculations'!$D$7="Yes",'Mass Ion Calculations'!$D$18+'AA Exact Masses'!$Q$2-'Mass Ion Calculations'!$C$20-'Mass Ion Calculations'!$C37-'Mass Ion Calculations'!$D$5,'Mass Ion Calculations'!$F$18+'AA Exact Masses'!$Q$2-'Mass Ion Calculations'!$C$20-'Mass Ion Calculations'!$C37-'Mass Ion Calculations'!$D$5),IF('Mass Ion Calculations'!$D$7="Yes", 'Mass Ion Calculations'!$D$15+'AA Exact Masses'!$Q$2-'Mass Ion Calculations'!$C$20-'Mass Ion Calculations'!$C37-'Mass Ion Calculations'!$D$5,'Mass Ion Calculations'!$F$15+'AA Exact Masses'!$Q$2-'Mass Ion Calculations'!$C$20-'Mass Ion Calculations'!$C37-'Mass Ion Calculations'!$D$5)))</f>
        <v/>
      </c>
      <c r="S36" s="3" t="str">
        <f>IF(OR($B36="",S$3=""),"",IF('Mass Ion Calculations'!$D$6="Yes",IF('Mass Ion Calculations'!$D$7="Yes",'Mass Ion Calculations'!$D$18+'AA Exact Masses'!$Q$2-'Mass Ion Calculations'!$C$21-'Mass Ion Calculations'!$C37-'Mass Ion Calculations'!$D$5,'Mass Ion Calculations'!$F$18+'AA Exact Masses'!$Q$2-'Mass Ion Calculations'!$C$21-'Mass Ion Calculations'!$C37-'Mass Ion Calculations'!$D$5),IF('Mass Ion Calculations'!$D$7="Yes", 'Mass Ion Calculations'!$D$15+'AA Exact Masses'!$Q$2-'Mass Ion Calculations'!$C$21-'Mass Ion Calculations'!$C37-'Mass Ion Calculations'!$D$5,'Mass Ion Calculations'!$F$15+'AA Exact Masses'!$Q$2-'Mass Ion Calculations'!$C$21-'Mass Ion Calculations'!$C37-'Mass Ion Calculations'!$D$5)))</f>
        <v/>
      </c>
      <c r="T36" s="3" t="str">
        <f>IF(OR($B36="",T$3=""),"",IF('Mass Ion Calculations'!$D$6="Yes",IF('Mass Ion Calculations'!$D$7="Yes",'Mass Ion Calculations'!$D$18+'AA Exact Masses'!$Q$2-'Mass Ion Calculations'!$C$22-'Mass Ion Calculations'!$C37-'Mass Ion Calculations'!$D$5,'Mass Ion Calculations'!$F$18+'AA Exact Masses'!$Q$2-'Mass Ion Calculations'!$C$22-'Mass Ion Calculations'!$C37-'Mass Ion Calculations'!$D$5),IF('Mass Ion Calculations'!$D$7="Yes", 'Mass Ion Calculations'!$D$15+'AA Exact Masses'!$Q$2-'Mass Ion Calculations'!$C$22-'Mass Ion Calculations'!$C37-'Mass Ion Calculations'!$D$5,'Mass Ion Calculations'!$F$15+'AA Exact Masses'!$Q$2-'Mass Ion Calculations'!$C$22-'Mass Ion Calculations'!$C37-'Mass Ion Calculations'!$D$5)))</f>
        <v/>
      </c>
      <c r="U36" s="3" t="str">
        <f>IF(OR($B36="",U$3=""),"",IF('Mass Ion Calculations'!$D$6="Yes",IF('Mass Ion Calculations'!$D$7="Yes",'Mass Ion Calculations'!$D$18+'AA Exact Masses'!$Q$2-'Mass Ion Calculations'!$C$23-'Mass Ion Calculations'!$C37-'Mass Ion Calculations'!$D$5,'Mass Ion Calculations'!$F$18+'AA Exact Masses'!$Q$2-'Mass Ion Calculations'!$C$23-'Mass Ion Calculations'!$C37-'Mass Ion Calculations'!$D$5),IF('Mass Ion Calculations'!$D$7="Yes", 'Mass Ion Calculations'!$D$15+'AA Exact Masses'!$Q$2-'Mass Ion Calculations'!$C$23-'Mass Ion Calculations'!$C37-'Mass Ion Calculations'!$D$5,'Mass Ion Calculations'!$F$15+'AA Exact Masses'!$Q$2-'Mass Ion Calculations'!$C$23-'Mass Ion Calculations'!$C37-'Mass Ion Calculations'!$D$5)))</f>
        <v/>
      </c>
      <c r="V36" s="3" t="str">
        <f>IF(OR($B36="",V$3=""),"",IF('Mass Ion Calculations'!$D$6="Yes",IF('Mass Ion Calculations'!$D$7="Yes",'Mass Ion Calculations'!$D$18+'AA Exact Masses'!$Q$2-'Mass Ion Calculations'!$C$24-'Mass Ion Calculations'!$C37-'Mass Ion Calculations'!$D$5,'Mass Ion Calculations'!$F$18+'AA Exact Masses'!$Q$2-'Mass Ion Calculations'!$C$24-'Mass Ion Calculations'!$C37-'Mass Ion Calculations'!$D$5),IF('Mass Ion Calculations'!$D$7="Yes", 'Mass Ion Calculations'!$D$15+'AA Exact Masses'!$Q$2-'Mass Ion Calculations'!$C$24-'Mass Ion Calculations'!$C37-'Mass Ion Calculations'!$D$5,'Mass Ion Calculations'!$F$15+'AA Exact Masses'!$Q$2-'Mass Ion Calculations'!$C$24-'Mass Ion Calculations'!$C37-'Mass Ion Calculations'!$D$5)))</f>
        <v/>
      </c>
      <c r="W36" s="3" t="str">
        <f>IF(OR($B36="",W$3=""),"",IF('Mass Ion Calculations'!$D$6="Yes",IF('Mass Ion Calculations'!$D$7="Yes",'Mass Ion Calculations'!$D$18+'AA Exact Masses'!$Q$2-'Mass Ion Calculations'!$C$25-'Mass Ion Calculations'!$C37-'Mass Ion Calculations'!$D$5,'Mass Ion Calculations'!$F$18+'AA Exact Masses'!$Q$2-'Mass Ion Calculations'!$C$25-'Mass Ion Calculations'!$C37-'Mass Ion Calculations'!$D$5),IF('Mass Ion Calculations'!$D$7="Yes", 'Mass Ion Calculations'!$D$15+'AA Exact Masses'!$Q$2-'Mass Ion Calculations'!$C$25-'Mass Ion Calculations'!$C37-'Mass Ion Calculations'!$D$5,'Mass Ion Calculations'!$F$15+'AA Exact Masses'!$Q$2-'Mass Ion Calculations'!$C$25-'Mass Ion Calculations'!$C37-'Mass Ion Calculations'!$D$5)))</f>
        <v/>
      </c>
      <c r="X36" s="3" t="str">
        <f>IF(OR($B36="",X$3=""),"",IF('Mass Ion Calculations'!$D$6="Yes",IF('Mass Ion Calculations'!$D$7="Yes",'Mass Ion Calculations'!$D$18+'AA Exact Masses'!$Q$2-'Mass Ion Calculations'!$C$26-'Mass Ion Calculations'!$C37-'Mass Ion Calculations'!$D$5,'Mass Ion Calculations'!$F$18+'AA Exact Masses'!$Q$2-'Mass Ion Calculations'!$C$26-'Mass Ion Calculations'!$C37-'Mass Ion Calculations'!$D$5),IF('Mass Ion Calculations'!$D$7="Yes", 'Mass Ion Calculations'!$D$15+'AA Exact Masses'!$Q$2-'Mass Ion Calculations'!$C$26-'Mass Ion Calculations'!$C37-'Mass Ion Calculations'!$D$5,'Mass Ion Calculations'!$F$15+'AA Exact Masses'!$Q$2-'Mass Ion Calculations'!$C$26-'Mass Ion Calculations'!$C37-'Mass Ion Calculations'!$D$5)))</f>
        <v/>
      </c>
      <c r="Y36" s="3" t="str">
        <f>IF(OR($B36="",Y$3=""),"",IF('Mass Ion Calculations'!$D$6="Yes",('Mass Ion Calculations'!$D$15+'AA Exact Masses'!$Q$2-'Mass Ion Calculations'!$C$7-'Mass Ion Calculations'!$C37-'Mass Ion Calculations'!$D$5-18.01),('Mass Ion Calculations'!$D$15+'AA Exact Masses'!$Q$2-'Mass Ion Calculations'!$C$7-'Mass Ion Calculations'!$C37-'Mass Ion Calculations'!$D$5)))</f>
        <v/>
      </c>
      <c r="Z36" s="3" t="str">
        <f>IF(OR($B36="",Z$3=""),"",IF('Mass Ion Calculations'!$D$6="Yes",('Mass Ion Calculations'!$D$15+'AA Exact Masses'!$Q$2-'Mass Ion Calculations'!$C$7-'Mass Ion Calculations'!$C37-'Mass Ion Calculations'!$D$5-18.01),('Mass Ion Calculations'!$D$15+'AA Exact Masses'!$Q$2-'Mass Ion Calculations'!$C$7-'Mass Ion Calculations'!$C37-'Mass Ion Calculations'!$D$5)))</f>
        <v/>
      </c>
    </row>
    <row r="37" spans="3:26" x14ac:dyDescent="0.25">
      <c r="C37" s="3" t="str">
        <f>IF(OR($B37="",C$3=""),"",IF('Mass Ion Calculations'!$D$6="Yes",IF('Mass Ion Calculations'!$D$7="Yes",'Mass Ion Calculations'!$D$18+'AA Exact Masses'!$Q$2-'Mass Ion Calculations'!$C$5-'Mass Ion Calculations'!$C38-'Mass Ion Calculations'!$D$5,'Mass Ion Calculations'!$F$18+'AA Exact Masses'!$Q$2-'Mass Ion Calculations'!C38-'Mass Ion Calculations'!C38-'Mass Ion Calculations'!$D$5),IF('Mass Ion Calculations'!$D$7="Yes", 'Mass Ion Calculations'!$D$15+'AA Exact Masses'!$Q$2-'Mass Ion Calculations'!$C$5-'Mass Ion Calculations'!$C38-'Mass Ion Calculations'!$D$5,'Mass Ion Calculations'!$F$15+'AA Exact Masses'!$Q$2-'Mass Ion Calculations'!C38-'Mass Ion Calculations'!C38-'Mass Ion Calculations'!$D$5)))</f>
        <v/>
      </c>
      <c r="D37" s="3" t="str">
        <f>IF(OR($B37="",D$3=""),"",IF('Mass Ion Calculations'!$D$6="Yes",IF('Mass Ion Calculations'!$D$7="Yes",'Mass Ion Calculations'!$D$18+'AA Exact Masses'!$Q$2-'Mass Ion Calculations'!$C$6-'Mass Ion Calculations'!$C38-'Mass Ion Calculations'!$D$5,'Mass Ion Calculations'!$F$18+'AA Exact Masses'!$Q$2-'Mass Ion Calculations'!$C$6-'Mass Ion Calculations'!$C38-'Mass Ion Calculations'!$D$5),IF('Mass Ion Calculations'!$D$7="Yes", 'Mass Ion Calculations'!$D$15+'AA Exact Masses'!$Q$2-'Mass Ion Calculations'!$C$6-'Mass Ion Calculations'!$C38-'Mass Ion Calculations'!$D$5,'Mass Ion Calculations'!$F$15+'AA Exact Masses'!$Q$2-'Mass Ion Calculations'!$C$6-'Mass Ion Calculations'!$C38-'Mass Ion Calculations'!$D$5)))</f>
        <v/>
      </c>
      <c r="E37" s="3" t="str">
        <f>IF(OR($B37="",E$3=""),"",IF('Mass Ion Calculations'!$D$6="Yes",IF('Mass Ion Calculations'!$D$7="Yes",'Mass Ion Calculations'!$D$18+'AA Exact Masses'!$Q$2-'Mass Ion Calculations'!$C$7-'Mass Ion Calculations'!$C38-'Mass Ion Calculations'!$D$5,'Mass Ion Calculations'!$F$18+'AA Exact Masses'!$Q$2-'Mass Ion Calculations'!$C$7-'Mass Ion Calculations'!$C38-'Mass Ion Calculations'!$D$5),IF('Mass Ion Calculations'!$D$7="Yes", 'Mass Ion Calculations'!$D$15+'AA Exact Masses'!$Q$2-'Mass Ion Calculations'!$C$7-'Mass Ion Calculations'!$C38-'Mass Ion Calculations'!$D$5,'Mass Ion Calculations'!$F$15+'AA Exact Masses'!$Q$2-'Mass Ion Calculations'!$C$7-'Mass Ion Calculations'!$C38-'Mass Ion Calculations'!$D$5)))</f>
        <v/>
      </c>
      <c r="F37" s="3" t="str">
        <f>IF(OR($B37="",F$3=""),"",IF('Mass Ion Calculations'!$D$6="Yes",IF('Mass Ion Calculations'!$D$7="Yes",'Mass Ion Calculations'!$D$18+'AA Exact Masses'!$Q$2-'Mass Ion Calculations'!$C$8-'Mass Ion Calculations'!$C38-'Mass Ion Calculations'!$D$5,'Mass Ion Calculations'!$F$18+'AA Exact Masses'!$Q$2-'Mass Ion Calculations'!$C$8-'Mass Ion Calculations'!$C38-'Mass Ion Calculations'!$D$5),IF('Mass Ion Calculations'!$D$7="Yes", 'Mass Ion Calculations'!$D$15+'AA Exact Masses'!$Q$2-'Mass Ion Calculations'!$C$8-'Mass Ion Calculations'!$C38-'Mass Ion Calculations'!$D$5,'Mass Ion Calculations'!$F$15+'AA Exact Masses'!$Q$2-'Mass Ion Calculations'!$C$8-'Mass Ion Calculations'!$C38-'Mass Ion Calculations'!$D$5)))</f>
        <v/>
      </c>
      <c r="G37" s="3" t="str">
        <f>IF(OR($B37="",G$3=""),"",IF('Mass Ion Calculations'!$D$6="Yes",IF('Mass Ion Calculations'!$D$7="Yes",'Mass Ion Calculations'!$D$18+'AA Exact Masses'!$Q$2-'Mass Ion Calculations'!$C$9-'Mass Ion Calculations'!$C38-'Mass Ion Calculations'!$D$5,'Mass Ion Calculations'!$F$18+'AA Exact Masses'!$Q$2-'Mass Ion Calculations'!$C$9-'Mass Ion Calculations'!$C38-'Mass Ion Calculations'!$D$5),IF('Mass Ion Calculations'!$D$7="Yes", 'Mass Ion Calculations'!$D$15+'AA Exact Masses'!$Q$2-'Mass Ion Calculations'!$C$9-'Mass Ion Calculations'!$C38-'Mass Ion Calculations'!$D$5,'Mass Ion Calculations'!$F$15+'AA Exact Masses'!$Q$2-'Mass Ion Calculations'!$C$9-'Mass Ion Calculations'!$C38-'Mass Ion Calculations'!$D$5)))</f>
        <v/>
      </c>
      <c r="H37" s="3" t="str">
        <f>IF(OR($B37="",H$3=""),"",IF('Mass Ion Calculations'!$D$6="Yes",IF('Mass Ion Calculations'!$D$7="Yes",'Mass Ion Calculations'!$D$18+'AA Exact Masses'!$Q$2-'Mass Ion Calculations'!$C$10-'Mass Ion Calculations'!$C38-'Mass Ion Calculations'!$D$5,'Mass Ion Calculations'!$F$18+'AA Exact Masses'!$Q$2-'Mass Ion Calculations'!$C$10-'Mass Ion Calculations'!$C38-'Mass Ion Calculations'!$D$5),IF('Mass Ion Calculations'!$D$7="Yes", 'Mass Ion Calculations'!$D$15+'AA Exact Masses'!$Q$2-'Mass Ion Calculations'!$C$10-'Mass Ion Calculations'!$C38-'Mass Ion Calculations'!$D$5,'Mass Ion Calculations'!$F$15+'AA Exact Masses'!$Q$2-'Mass Ion Calculations'!$C$10-'Mass Ion Calculations'!$C38-'Mass Ion Calculations'!$D$5)))</f>
        <v/>
      </c>
      <c r="I37" s="3" t="str">
        <f>IF(OR($B37="",I$3=""),"",IF('Mass Ion Calculations'!$D$6="Yes",IF('Mass Ion Calculations'!$D$7="Yes",'Mass Ion Calculations'!$D$18+'AA Exact Masses'!$Q$2-'Mass Ion Calculations'!$C$11-'Mass Ion Calculations'!$C38-'Mass Ion Calculations'!$D$5,'Mass Ion Calculations'!$F$18+'AA Exact Masses'!$Q$2-'Mass Ion Calculations'!$C$11-'Mass Ion Calculations'!$C38-'Mass Ion Calculations'!$D$5),IF('Mass Ion Calculations'!$D$7="Yes", 'Mass Ion Calculations'!$D$15+'AA Exact Masses'!$Q$2-'Mass Ion Calculations'!$C$11-'Mass Ion Calculations'!$C38-'Mass Ion Calculations'!$D$5,'Mass Ion Calculations'!$F$15+'AA Exact Masses'!$Q$2-'Mass Ion Calculations'!$C$11-'Mass Ion Calculations'!$C38-'Mass Ion Calculations'!$D$5)))</f>
        <v/>
      </c>
      <c r="J37" s="3" t="str">
        <f>IF(OR($B37="",J$3=""),"",IF('Mass Ion Calculations'!$D$6="Yes",IF('Mass Ion Calculations'!$D$7="Yes",'Mass Ion Calculations'!$D$18+'AA Exact Masses'!$Q$2-'Mass Ion Calculations'!$C$12-'Mass Ion Calculations'!$C38-'Mass Ion Calculations'!$D$5,'Mass Ion Calculations'!$F$18+'AA Exact Masses'!$Q$2-'Mass Ion Calculations'!$C$12-'Mass Ion Calculations'!$C38-'Mass Ion Calculations'!$D$5),IF('Mass Ion Calculations'!$D$7="Yes", 'Mass Ion Calculations'!$D$15+'AA Exact Masses'!$Q$2-'Mass Ion Calculations'!$C$12-'Mass Ion Calculations'!$C38-'Mass Ion Calculations'!$D$5,'Mass Ion Calculations'!$F$15+'AA Exact Masses'!$Q$2-'Mass Ion Calculations'!$C$12-'Mass Ion Calculations'!$C38-'Mass Ion Calculations'!$D$5)))</f>
        <v/>
      </c>
      <c r="K37" s="3" t="str">
        <f>IF(OR($B37="",K$3=""),"",IF('Mass Ion Calculations'!$D$6="Yes",IF('Mass Ion Calculations'!$D$7="Yes",'Mass Ion Calculations'!$D$18+'AA Exact Masses'!$Q$2-'Mass Ion Calculations'!$C$13-'Mass Ion Calculations'!$C38-'Mass Ion Calculations'!$D$5,'Mass Ion Calculations'!$F$18+'AA Exact Masses'!$Q$2-'Mass Ion Calculations'!$C$13-'Mass Ion Calculations'!$C38-'Mass Ion Calculations'!$D$5),IF('Mass Ion Calculations'!$D$7="Yes", 'Mass Ion Calculations'!$D$15+'AA Exact Masses'!$Q$2-'Mass Ion Calculations'!$C$13-'Mass Ion Calculations'!$C38-'Mass Ion Calculations'!$D$5,'Mass Ion Calculations'!$F$15+'AA Exact Masses'!$Q$2-'Mass Ion Calculations'!$C$13-'Mass Ion Calculations'!$C38-'Mass Ion Calculations'!$D$5)))</f>
        <v/>
      </c>
      <c r="L37" s="3" t="str">
        <f>IF(OR($B37="",L$3=""),"",IF('Mass Ion Calculations'!$D$6="Yes",IF('Mass Ion Calculations'!$D$7="Yes",'Mass Ion Calculations'!$D$18+'AA Exact Masses'!$Q$2-'Mass Ion Calculations'!$C$14-'Mass Ion Calculations'!$C38-'Mass Ion Calculations'!$D$5,'Mass Ion Calculations'!$F$18+'AA Exact Masses'!$Q$2-'Mass Ion Calculations'!$C$14-'Mass Ion Calculations'!$C38-'Mass Ion Calculations'!$D$5),IF('Mass Ion Calculations'!$D$7="Yes", 'Mass Ion Calculations'!$D$15+'AA Exact Masses'!$Q$2-'Mass Ion Calculations'!$C$14-'Mass Ion Calculations'!$C38-'Mass Ion Calculations'!$D$5,'Mass Ion Calculations'!$F$15+'AA Exact Masses'!$Q$2-'Mass Ion Calculations'!$C$14-'Mass Ion Calculations'!$C38-'Mass Ion Calculations'!$D$5)))</f>
        <v/>
      </c>
      <c r="M37" s="3" t="str">
        <f>IF(OR($B37="",M$3=""),"",IF('Mass Ion Calculations'!$D$6="Yes",IF('Mass Ion Calculations'!$D$7="Yes",'Mass Ion Calculations'!$D$18+'AA Exact Masses'!$Q$2-'Mass Ion Calculations'!$C$15-'Mass Ion Calculations'!$C38-'Mass Ion Calculations'!$D$5,'Mass Ion Calculations'!$F$18+'AA Exact Masses'!$Q$2-'Mass Ion Calculations'!$C$15-'Mass Ion Calculations'!$C38-'Mass Ion Calculations'!$D$5),IF('Mass Ion Calculations'!$D$7="Yes", 'Mass Ion Calculations'!$D$15+'AA Exact Masses'!$Q$2-'Mass Ion Calculations'!$C$15-'Mass Ion Calculations'!$C38-'Mass Ion Calculations'!$D$5,'Mass Ion Calculations'!$F$15+'AA Exact Masses'!$Q$2-'Mass Ion Calculations'!$C$15-'Mass Ion Calculations'!$C38-'Mass Ion Calculations'!$D$5)))</f>
        <v/>
      </c>
      <c r="N37" s="3" t="str">
        <f>IF(OR($B37="",N$3=""),"",IF('Mass Ion Calculations'!$D$6="Yes",IF('Mass Ion Calculations'!$D$7="Yes",'Mass Ion Calculations'!$D$18+'AA Exact Masses'!$Q$2-'Mass Ion Calculations'!$C$16-'Mass Ion Calculations'!$C38-'Mass Ion Calculations'!$D$5,'Mass Ion Calculations'!$F$18+'AA Exact Masses'!$Q$2-'Mass Ion Calculations'!$C$16-'Mass Ion Calculations'!$C38-'Mass Ion Calculations'!$D$5),IF('Mass Ion Calculations'!$D$7="Yes", 'Mass Ion Calculations'!$D$15+'AA Exact Masses'!$Q$2-'Mass Ion Calculations'!$C$16-'Mass Ion Calculations'!$C38-'Mass Ion Calculations'!$D$5,'Mass Ion Calculations'!$F$15+'AA Exact Masses'!$Q$2-'Mass Ion Calculations'!$C$16-'Mass Ion Calculations'!$C38-'Mass Ion Calculations'!$D$5)))</f>
        <v/>
      </c>
      <c r="O37" s="3" t="str">
        <f>IF(OR($B37="",O$3=""),"",IF('Mass Ion Calculations'!$D$6="Yes",IF('Mass Ion Calculations'!$D$7="Yes",'Mass Ion Calculations'!$D$18+'AA Exact Masses'!$Q$2-'Mass Ion Calculations'!$C$17-'Mass Ion Calculations'!$C38-'Mass Ion Calculations'!$D$5,'Mass Ion Calculations'!$F$18+'AA Exact Masses'!$Q$2-'Mass Ion Calculations'!$C$17-'Mass Ion Calculations'!$C38-'Mass Ion Calculations'!$D$5),IF('Mass Ion Calculations'!$D$7="Yes", 'Mass Ion Calculations'!$D$15+'AA Exact Masses'!$Q$2-'Mass Ion Calculations'!$C$17-'Mass Ion Calculations'!$C38-'Mass Ion Calculations'!$D$5,'Mass Ion Calculations'!$F$15+'AA Exact Masses'!$Q$2-'Mass Ion Calculations'!$C$17-'Mass Ion Calculations'!$C38-'Mass Ion Calculations'!$D$5)))</f>
        <v/>
      </c>
      <c r="P37" s="3" t="str">
        <f>IF(OR($B37="",P$3=""),"",IF('Mass Ion Calculations'!$D$6="Yes",IF('Mass Ion Calculations'!$D$7="Yes",'Mass Ion Calculations'!$D$18+'AA Exact Masses'!$Q$2-'Mass Ion Calculations'!$C$18-'Mass Ion Calculations'!$C38-'Mass Ion Calculations'!$D$5,'Mass Ion Calculations'!$F$18+'AA Exact Masses'!$Q$2-'Mass Ion Calculations'!$C$18-'Mass Ion Calculations'!$C38-'Mass Ion Calculations'!$D$5),IF('Mass Ion Calculations'!$D$7="Yes", 'Mass Ion Calculations'!$D$15+'AA Exact Masses'!$Q$2-'Mass Ion Calculations'!$C$18-'Mass Ion Calculations'!$C38-'Mass Ion Calculations'!$D$5,'Mass Ion Calculations'!$F$15+'AA Exact Masses'!$Q$2-'Mass Ion Calculations'!$C$18-'Mass Ion Calculations'!$C38-'Mass Ion Calculations'!$D$5)))</f>
        <v/>
      </c>
      <c r="Q37" s="3" t="str">
        <f>IF(OR($B37="",Q$3=""),"",IF('Mass Ion Calculations'!$D$6="Yes",IF('Mass Ion Calculations'!$D$7="Yes",'Mass Ion Calculations'!$D$18+'AA Exact Masses'!$Q$2-'Mass Ion Calculations'!$C$19-'Mass Ion Calculations'!$C38-'Mass Ion Calculations'!$D$5,'Mass Ion Calculations'!$F$18+'AA Exact Masses'!$Q$2-'Mass Ion Calculations'!$C$19-'Mass Ion Calculations'!$C38-'Mass Ion Calculations'!$D$5),IF('Mass Ion Calculations'!$D$7="Yes", 'Mass Ion Calculations'!$D$15+'AA Exact Masses'!$Q$2-'Mass Ion Calculations'!$C$19-'Mass Ion Calculations'!$C38-'Mass Ion Calculations'!$D$5,'Mass Ion Calculations'!$F$15+'AA Exact Masses'!$Q$2-'Mass Ion Calculations'!$C$19-'Mass Ion Calculations'!$C38-'Mass Ion Calculations'!$D$5)))</f>
        <v/>
      </c>
      <c r="R37" s="3" t="str">
        <f>IF(OR($B37="",R$3=""),"",IF('Mass Ion Calculations'!$D$6="Yes",IF('Mass Ion Calculations'!$D$7="Yes",'Mass Ion Calculations'!$D$18+'AA Exact Masses'!$Q$2-'Mass Ion Calculations'!$C$20-'Mass Ion Calculations'!$C38-'Mass Ion Calculations'!$D$5,'Mass Ion Calculations'!$F$18+'AA Exact Masses'!$Q$2-'Mass Ion Calculations'!$C$20-'Mass Ion Calculations'!$C38-'Mass Ion Calculations'!$D$5),IF('Mass Ion Calculations'!$D$7="Yes", 'Mass Ion Calculations'!$D$15+'AA Exact Masses'!$Q$2-'Mass Ion Calculations'!$C$20-'Mass Ion Calculations'!$C38-'Mass Ion Calculations'!$D$5,'Mass Ion Calculations'!$F$15+'AA Exact Masses'!$Q$2-'Mass Ion Calculations'!$C$20-'Mass Ion Calculations'!$C38-'Mass Ion Calculations'!$D$5)))</f>
        <v/>
      </c>
      <c r="S37" s="3" t="str">
        <f>IF(OR($B37="",S$3=""),"",IF('Mass Ion Calculations'!$D$6="Yes",IF('Mass Ion Calculations'!$D$7="Yes",'Mass Ion Calculations'!$D$18+'AA Exact Masses'!$Q$2-'Mass Ion Calculations'!$C$21-'Mass Ion Calculations'!$C38-'Mass Ion Calculations'!$D$5,'Mass Ion Calculations'!$F$18+'AA Exact Masses'!$Q$2-'Mass Ion Calculations'!$C$21-'Mass Ion Calculations'!$C38-'Mass Ion Calculations'!$D$5),IF('Mass Ion Calculations'!$D$7="Yes", 'Mass Ion Calculations'!$D$15+'AA Exact Masses'!$Q$2-'Mass Ion Calculations'!$C$21-'Mass Ion Calculations'!$C38-'Mass Ion Calculations'!$D$5,'Mass Ion Calculations'!$F$15+'AA Exact Masses'!$Q$2-'Mass Ion Calculations'!$C$21-'Mass Ion Calculations'!$C38-'Mass Ion Calculations'!$D$5)))</f>
        <v/>
      </c>
      <c r="T37" s="3" t="str">
        <f>IF(OR($B37="",T$3=""),"",IF('Mass Ion Calculations'!$D$6="Yes",IF('Mass Ion Calculations'!$D$7="Yes",'Mass Ion Calculations'!$D$18+'AA Exact Masses'!$Q$2-'Mass Ion Calculations'!$C$22-'Mass Ion Calculations'!$C38-'Mass Ion Calculations'!$D$5,'Mass Ion Calculations'!$F$18+'AA Exact Masses'!$Q$2-'Mass Ion Calculations'!$C$22-'Mass Ion Calculations'!$C38-'Mass Ion Calculations'!$D$5),IF('Mass Ion Calculations'!$D$7="Yes", 'Mass Ion Calculations'!$D$15+'AA Exact Masses'!$Q$2-'Mass Ion Calculations'!$C$22-'Mass Ion Calculations'!$C38-'Mass Ion Calculations'!$D$5,'Mass Ion Calculations'!$F$15+'AA Exact Masses'!$Q$2-'Mass Ion Calculations'!$C$22-'Mass Ion Calculations'!$C38-'Mass Ion Calculations'!$D$5)))</f>
        <v/>
      </c>
      <c r="U37" s="3" t="str">
        <f>IF(OR($B37="",U$3=""),"",IF('Mass Ion Calculations'!$D$6="Yes",IF('Mass Ion Calculations'!$D$7="Yes",'Mass Ion Calculations'!$D$18+'AA Exact Masses'!$Q$2-'Mass Ion Calculations'!$C$23-'Mass Ion Calculations'!$C38-'Mass Ion Calculations'!$D$5,'Mass Ion Calculations'!$F$18+'AA Exact Masses'!$Q$2-'Mass Ion Calculations'!$C$23-'Mass Ion Calculations'!$C38-'Mass Ion Calculations'!$D$5),IF('Mass Ion Calculations'!$D$7="Yes", 'Mass Ion Calculations'!$D$15+'AA Exact Masses'!$Q$2-'Mass Ion Calculations'!$C$23-'Mass Ion Calculations'!$C38-'Mass Ion Calculations'!$D$5,'Mass Ion Calculations'!$F$15+'AA Exact Masses'!$Q$2-'Mass Ion Calculations'!$C$23-'Mass Ion Calculations'!$C38-'Mass Ion Calculations'!$D$5)))</f>
        <v/>
      </c>
      <c r="V37" s="3" t="str">
        <f>IF(OR($B37="",V$3=""),"",IF('Mass Ion Calculations'!$D$6="Yes",IF('Mass Ion Calculations'!$D$7="Yes",'Mass Ion Calculations'!$D$18+'AA Exact Masses'!$Q$2-'Mass Ion Calculations'!$C$24-'Mass Ion Calculations'!$C38-'Mass Ion Calculations'!$D$5,'Mass Ion Calculations'!$F$18+'AA Exact Masses'!$Q$2-'Mass Ion Calculations'!$C$24-'Mass Ion Calculations'!$C38-'Mass Ion Calculations'!$D$5),IF('Mass Ion Calculations'!$D$7="Yes", 'Mass Ion Calculations'!$D$15+'AA Exact Masses'!$Q$2-'Mass Ion Calculations'!$C$24-'Mass Ion Calculations'!$C38-'Mass Ion Calculations'!$D$5,'Mass Ion Calculations'!$F$15+'AA Exact Masses'!$Q$2-'Mass Ion Calculations'!$C$24-'Mass Ion Calculations'!$C38-'Mass Ion Calculations'!$D$5)))</f>
        <v/>
      </c>
      <c r="W37" s="3" t="str">
        <f>IF(OR($B37="",W$3=""),"",IF('Mass Ion Calculations'!$D$6="Yes",IF('Mass Ion Calculations'!$D$7="Yes",'Mass Ion Calculations'!$D$18+'AA Exact Masses'!$Q$2-'Mass Ion Calculations'!$C$25-'Mass Ion Calculations'!$C38-'Mass Ion Calculations'!$D$5,'Mass Ion Calculations'!$F$18+'AA Exact Masses'!$Q$2-'Mass Ion Calculations'!$C$25-'Mass Ion Calculations'!$C38-'Mass Ion Calculations'!$D$5),IF('Mass Ion Calculations'!$D$7="Yes", 'Mass Ion Calculations'!$D$15+'AA Exact Masses'!$Q$2-'Mass Ion Calculations'!$C$25-'Mass Ion Calculations'!$C38-'Mass Ion Calculations'!$D$5,'Mass Ion Calculations'!$F$15+'AA Exact Masses'!$Q$2-'Mass Ion Calculations'!$C$25-'Mass Ion Calculations'!$C38-'Mass Ion Calculations'!$D$5)))</f>
        <v/>
      </c>
      <c r="X37" s="3" t="str">
        <f>IF(OR($B37="",X$3=""),"",IF('Mass Ion Calculations'!$D$6="Yes",IF('Mass Ion Calculations'!$D$7="Yes",'Mass Ion Calculations'!$D$18+'AA Exact Masses'!$Q$2-'Mass Ion Calculations'!$C$26-'Mass Ion Calculations'!$C38-'Mass Ion Calculations'!$D$5,'Mass Ion Calculations'!$F$18+'AA Exact Masses'!$Q$2-'Mass Ion Calculations'!$C$26-'Mass Ion Calculations'!$C38-'Mass Ion Calculations'!$D$5),IF('Mass Ion Calculations'!$D$7="Yes", 'Mass Ion Calculations'!$D$15+'AA Exact Masses'!$Q$2-'Mass Ion Calculations'!$C$26-'Mass Ion Calculations'!$C38-'Mass Ion Calculations'!$D$5,'Mass Ion Calculations'!$F$15+'AA Exact Masses'!$Q$2-'Mass Ion Calculations'!$C$26-'Mass Ion Calculations'!$C38-'Mass Ion Calculations'!$D$5)))</f>
        <v/>
      </c>
      <c r="Y37" s="3" t="str">
        <f>IF(OR($B37="",Y$3=""),"",IF('Mass Ion Calculations'!$D$6="Yes",('Mass Ion Calculations'!$D$15+'AA Exact Masses'!$Q$2-'Mass Ion Calculations'!$C$7-'Mass Ion Calculations'!$C38-'Mass Ion Calculations'!$D$5-18.01),('Mass Ion Calculations'!$D$15+'AA Exact Masses'!$Q$2-'Mass Ion Calculations'!$C$7-'Mass Ion Calculations'!$C38-'Mass Ion Calculations'!$D$5)))</f>
        <v/>
      </c>
      <c r="Z37" s="3" t="str">
        <f>IF(OR($B37="",Z$3=""),"",IF('Mass Ion Calculations'!$D$6="Yes",('Mass Ion Calculations'!$D$15+'AA Exact Masses'!$Q$2-'Mass Ion Calculations'!$C$7-'Mass Ion Calculations'!$C38-'Mass Ion Calculations'!$D$5-18.01),('Mass Ion Calculations'!$D$15+'AA Exact Masses'!$Q$2-'Mass Ion Calculations'!$C$7-'Mass Ion Calculations'!$C38-'Mass Ion Calculations'!$D$5)))</f>
        <v/>
      </c>
    </row>
    <row r="38" spans="3:26" x14ac:dyDescent="0.25">
      <c r="C38" s="3" t="str">
        <f>IF(OR($B38="",C$3=""),"",IF('Mass Ion Calculations'!$D$6="Yes",IF('Mass Ion Calculations'!$D$7="Yes",'Mass Ion Calculations'!$D$18+'AA Exact Masses'!$Q$2-'Mass Ion Calculations'!$C$5-'Mass Ion Calculations'!$C39-'Mass Ion Calculations'!$D$5,'Mass Ion Calculations'!$F$18+'AA Exact Masses'!$Q$2-'Mass Ion Calculations'!C39-'Mass Ion Calculations'!C39-'Mass Ion Calculations'!$D$5),IF('Mass Ion Calculations'!$D$7="Yes", 'Mass Ion Calculations'!$D$15+'AA Exact Masses'!$Q$2-'Mass Ion Calculations'!$C$5-'Mass Ion Calculations'!$C39-'Mass Ion Calculations'!$D$5,'Mass Ion Calculations'!$F$15+'AA Exact Masses'!$Q$2-'Mass Ion Calculations'!C39-'Mass Ion Calculations'!C39-'Mass Ion Calculations'!$D$5)))</f>
        <v/>
      </c>
      <c r="D38" s="3" t="str">
        <f>IF(OR($B38="",D$3=""),"",IF('Mass Ion Calculations'!$D$6="Yes",IF('Mass Ion Calculations'!$D$7="Yes",'Mass Ion Calculations'!$D$18+'AA Exact Masses'!$Q$2-'Mass Ion Calculations'!$C$6-'Mass Ion Calculations'!$C39-'Mass Ion Calculations'!$D$5,'Mass Ion Calculations'!$F$18+'AA Exact Masses'!$Q$2-'Mass Ion Calculations'!$C$6-'Mass Ion Calculations'!$C39-'Mass Ion Calculations'!$D$5),IF('Mass Ion Calculations'!$D$7="Yes", 'Mass Ion Calculations'!$D$15+'AA Exact Masses'!$Q$2-'Mass Ion Calculations'!$C$6-'Mass Ion Calculations'!$C39-'Mass Ion Calculations'!$D$5,'Mass Ion Calculations'!$F$15+'AA Exact Masses'!$Q$2-'Mass Ion Calculations'!$C$6-'Mass Ion Calculations'!$C39-'Mass Ion Calculations'!$D$5)))</f>
        <v/>
      </c>
      <c r="E38" s="3" t="str">
        <f>IF(OR($B38="",E$3=""),"",IF('Mass Ion Calculations'!$D$6="Yes",IF('Mass Ion Calculations'!$D$7="Yes",'Mass Ion Calculations'!$D$18+'AA Exact Masses'!$Q$2-'Mass Ion Calculations'!$C$7-'Mass Ion Calculations'!$C39-'Mass Ion Calculations'!$D$5,'Mass Ion Calculations'!$F$18+'AA Exact Masses'!$Q$2-'Mass Ion Calculations'!$C$7-'Mass Ion Calculations'!$C39-'Mass Ion Calculations'!$D$5),IF('Mass Ion Calculations'!$D$7="Yes", 'Mass Ion Calculations'!$D$15+'AA Exact Masses'!$Q$2-'Mass Ion Calculations'!$C$7-'Mass Ion Calculations'!$C39-'Mass Ion Calculations'!$D$5,'Mass Ion Calculations'!$F$15+'AA Exact Masses'!$Q$2-'Mass Ion Calculations'!$C$7-'Mass Ion Calculations'!$C39-'Mass Ion Calculations'!$D$5)))</f>
        <v/>
      </c>
      <c r="G38" s="3" t="str">
        <f>IF(OR($B38="",G$3=""),"",IF('Mass Ion Calculations'!$D$6="Yes",IF('Mass Ion Calculations'!$D$7="Yes",'Mass Ion Calculations'!$D$18+'AA Exact Masses'!$Q$2-'Mass Ion Calculations'!$C$9-'Mass Ion Calculations'!$C39-'Mass Ion Calculations'!$D$5,'Mass Ion Calculations'!$F$18+'AA Exact Masses'!$Q$2-'Mass Ion Calculations'!$C$9-'Mass Ion Calculations'!$C39-'Mass Ion Calculations'!$D$5),IF('Mass Ion Calculations'!$D$7="Yes", 'Mass Ion Calculations'!$D$15+'AA Exact Masses'!$Q$2-'Mass Ion Calculations'!$C$9-'Mass Ion Calculations'!$C39-'Mass Ion Calculations'!$D$5,'Mass Ion Calculations'!$F$15+'AA Exact Masses'!$Q$2-'Mass Ion Calculations'!$C$9-'Mass Ion Calculations'!$C39-'Mass Ion Calculations'!$D$5)))</f>
        <v/>
      </c>
      <c r="H38" s="3" t="str">
        <f>IF(OR($B38="",H$3=""),"",IF('Mass Ion Calculations'!$D$6="Yes",IF('Mass Ion Calculations'!$D$7="Yes",'Mass Ion Calculations'!$D$18+'AA Exact Masses'!$Q$2-'Mass Ion Calculations'!$C$10-'Mass Ion Calculations'!$C39-'Mass Ion Calculations'!$D$5,'Mass Ion Calculations'!$F$18+'AA Exact Masses'!$Q$2-'Mass Ion Calculations'!$C$10-'Mass Ion Calculations'!$C39-'Mass Ion Calculations'!$D$5),IF('Mass Ion Calculations'!$D$7="Yes", 'Mass Ion Calculations'!$D$15+'AA Exact Masses'!$Q$2-'Mass Ion Calculations'!$C$10-'Mass Ion Calculations'!$C39-'Mass Ion Calculations'!$D$5,'Mass Ion Calculations'!$F$15+'AA Exact Masses'!$Q$2-'Mass Ion Calculations'!$C$10-'Mass Ion Calculations'!$C39-'Mass Ion Calculations'!$D$5)))</f>
        <v/>
      </c>
      <c r="I38" s="3" t="str">
        <f>IF(OR($B38="",I$3=""),"",IF('Mass Ion Calculations'!$D$6="Yes",IF('Mass Ion Calculations'!$D$7="Yes",'Mass Ion Calculations'!$D$18+'AA Exact Masses'!$Q$2-'Mass Ion Calculations'!$C$11-'Mass Ion Calculations'!$C39-'Mass Ion Calculations'!$D$5,'Mass Ion Calculations'!$F$18+'AA Exact Masses'!$Q$2-'Mass Ion Calculations'!$C$11-'Mass Ion Calculations'!$C39-'Mass Ion Calculations'!$D$5),IF('Mass Ion Calculations'!$D$7="Yes", 'Mass Ion Calculations'!$D$15+'AA Exact Masses'!$Q$2-'Mass Ion Calculations'!$C$11-'Mass Ion Calculations'!$C39-'Mass Ion Calculations'!$D$5,'Mass Ion Calculations'!$F$15+'AA Exact Masses'!$Q$2-'Mass Ion Calculations'!$C$11-'Mass Ion Calculations'!$C39-'Mass Ion Calculations'!$D$5)))</f>
        <v/>
      </c>
      <c r="J38" s="3" t="str">
        <f>IF(OR($B38="",J$3=""),"",IF('Mass Ion Calculations'!$D$6="Yes",IF('Mass Ion Calculations'!$D$7="Yes",'Mass Ion Calculations'!$D$18+'AA Exact Masses'!$Q$2-'Mass Ion Calculations'!$C$12-'Mass Ion Calculations'!$C39-'Mass Ion Calculations'!$D$5,'Mass Ion Calculations'!$F$18+'AA Exact Masses'!$Q$2-'Mass Ion Calculations'!$C$12-'Mass Ion Calculations'!$C39-'Mass Ion Calculations'!$D$5),IF('Mass Ion Calculations'!$D$7="Yes", 'Mass Ion Calculations'!$D$15+'AA Exact Masses'!$Q$2-'Mass Ion Calculations'!$C$12-'Mass Ion Calculations'!$C39-'Mass Ion Calculations'!$D$5,'Mass Ion Calculations'!$F$15+'AA Exact Masses'!$Q$2-'Mass Ion Calculations'!$C$12-'Mass Ion Calculations'!$C39-'Mass Ion Calculations'!$D$5)))</f>
        <v/>
      </c>
      <c r="K38" s="3" t="str">
        <f>IF(OR($B38="",K$3=""),"",IF('Mass Ion Calculations'!$D$6="Yes",IF('Mass Ion Calculations'!$D$7="Yes",'Mass Ion Calculations'!$D$18+'AA Exact Masses'!$Q$2-'Mass Ion Calculations'!$C$13-'Mass Ion Calculations'!$C39-'Mass Ion Calculations'!$D$5,'Mass Ion Calculations'!$F$18+'AA Exact Masses'!$Q$2-'Mass Ion Calculations'!$C$13-'Mass Ion Calculations'!$C39-'Mass Ion Calculations'!$D$5),IF('Mass Ion Calculations'!$D$7="Yes", 'Mass Ion Calculations'!$D$15+'AA Exact Masses'!$Q$2-'Mass Ion Calculations'!$C$13-'Mass Ion Calculations'!$C39-'Mass Ion Calculations'!$D$5,'Mass Ion Calculations'!$F$15+'AA Exact Masses'!$Q$2-'Mass Ion Calculations'!$C$13-'Mass Ion Calculations'!$C39-'Mass Ion Calculations'!$D$5)))</f>
        <v/>
      </c>
      <c r="L38" s="3" t="str">
        <f>IF(OR($B38="",L$3=""),"",IF('Mass Ion Calculations'!$D$6="Yes",IF('Mass Ion Calculations'!$D$7="Yes",'Mass Ion Calculations'!$D$18+'AA Exact Masses'!$Q$2-'Mass Ion Calculations'!$C$14-'Mass Ion Calculations'!$C39-'Mass Ion Calculations'!$D$5,'Mass Ion Calculations'!$F$18+'AA Exact Masses'!$Q$2-'Mass Ion Calculations'!$C$14-'Mass Ion Calculations'!$C39-'Mass Ion Calculations'!$D$5),IF('Mass Ion Calculations'!$D$7="Yes", 'Mass Ion Calculations'!$D$15+'AA Exact Masses'!$Q$2-'Mass Ion Calculations'!$C$14-'Mass Ion Calculations'!$C39-'Mass Ion Calculations'!$D$5,'Mass Ion Calculations'!$F$15+'AA Exact Masses'!$Q$2-'Mass Ion Calculations'!$C$14-'Mass Ion Calculations'!$C39-'Mass Ion Calculations'!$D$5)))</f>
        <v/>
      </c>
      <c r="M38" s="3" t="str">
        <f>IF(OR($B38="",M$3=""),"",IF('Mass Ion Calculations'!$D$6="Yes",IF('Mass Ion Calculations'!$D$7="Yes",'Mass Ion Calculations'!$D$18+'AA Exact Masses'!$Q$2-'Mass Ion Calculations'!$C$15-'Mass Ion Calculations'!$C39-'Mass Ion Calculations'!$D$5,'Mass Ion Calculations'!$F$18+'AA Exact Masses'!$Q$2-'Mass Ion Calculations'!$C$15-'Mass Ion Calculations'!$C39-'Mass Ion Calculations'!$D$5),IF('Mass Ion Calculations'!$D$7="Yes", 'Mass Ion Calculations'!$D$15+'AA Exact Masses'!$Q$2-'Mass Ion Calculations'!$C$15-'Mass Ion Calculations'!$C39-'Mass Ion Calculations'!$D$5,'Mass Ion Calculations'!$F$15+'AA Exact Masses'!$Q$2-'Mass Ion Calculations'!$C$15-'Mass Ion Calculations'!$C39-'Mass Ion Calculations'!$D$5)))</f>
        <v/>
      </c>
      <c r="N38" s="3" t="str">
        <f>IF(OR($B38="",N$3=""),"",IF('Mass Ion Calculations'!$D$6="Yes",IF('Mass Ion Calculations'!$D$7="Yes",'Mass Ion Calculations'!$D$18+'AA Exact Masses'!$Q$2-'Mass Ion Calculations'!$C$16-'Mass Ion Calculations'!$C39-'Mass Ion Calculations'!$D$5,'Mass Ion Calculations'!$F$18+'AA Exact Masses'!$Q$2-'Mass Ion Calculations'!$C$16-'Mass Ion Calculations'!$C39-'Mass Ion Calculations'!$D$5),IF('Mass Ion Calculations'!$D$7="Yes", 'Mass Ion Calculations'!$D$15+'AA Exact Masses'!$Q$2-'Mass Ion Calculations'!$C$16-'Mass Ion Calculations'!$C39-'Mass Ion Calculations'!$D$5,'Mass Ion Calculations'!$F$15+'AA Exact Masses'!$Q$2-'Mass Ion Calculations'!$C$16-'Mass Ion Calculations'!$C39-'Mass Ion Calculations'!$D$5)))</f>
        <v/>
      </c>
      <c r="O38" s="3" t="str">
        <f>IF(OR($B38="",O$3=""),"",IF('Mass Ion Calculations'!$D$6="Yes",IF('Mass Ion Calculations'!$D$7="Yes",'Mass Ion Calculations'!$D$18+'AA Exact Masses'!$Q$2-'Mass Ion Calculations'!$C$17-'Mass Ion Calculations'!$C39-'Mass Ion Calculations'!$D$5,'Mass Ion Calculations'!$F$18+'AA Exact Masses'!$Q$2-'Mass Ion Calculations'!$C$17-'Mass Ion Calculations'!$C39-'Mass Ion Calculations'!$D$5),IF('Mass Ion Calculations'!$D$7="Yes", 'Mass Ion Calculations'!$D$15+'AA Exact Masses'!$Q$2-'Mass Ion Calculations'!$C$17-'Mass Ion Calculations'!$C39-'Mass Ion Calculations'!$D$5,'Mass Ion Calculations'!$F$15+'AA Exact Masses'!$Q$2-'Mass Ion Calculations'!$C$17-'Mass Ion Calculations'!$C39-'Mass Ion Calculations'!$D$5)))</f>
        <v/>
      </c>
      <c r="P38" s="3" t="str">
        <f>IF(OR($B38="",P$3=""),"",IF('Mass Ion Calculations'!$D$6="Yes",IF('Mass Ion Calculations'!$D$7="Yes",'Mass Ion Calculations'!$D$18+'AA Exact Masses'!$Q$2-'Mass Ion Calculations'!$C$18-'Mass Ion Calculations'!$C39-'Mass Ion Calculations'!$D$5,'Mass Ion Calculations'!$F$18+'AA Exact Masses'!$Q$2-'Mass Ion Calculations'!$C$18-'Mass Ion Calculations'!$C39-'Mass Ion Calculations'!$D$5),IF('Mass Ion Calculations'!$D$7="Yes", 'Mass Ion Calculations'!$D$15+'AA Exact Masses'!$Q$2-'Mass Ion Calculations'!$C$18-'Mass Ion Calculations'!$C39-'Mass Ion Calculations'!$D$5,'Mass Ion Calculations'!$F$15+'AA Exact Masses'!$Q$2-'Mass Ion Calculations'!$C$18-'Mass Ion Calculations'!$C39-'Mass Ion Calculations'!$D$5)))</f>
        <v/>
      </c>
      <c r="Q38" s="3" t="str">
        <f>IF(OR($B38="",Q$3=""),"",IF('Mass Ion Calculations'!$D$6="Yes",IF('Mass Ion Calculations'!$D$7="Yes",'Mass Ion Calculations'!$D$18+'AA Exact Masses'!$Q$2-'Mass Ion Calculations'!$C$19-'Mass Ion Calculations'!$C39-'Mass Ion Calculations'!$D$5,'Mass Ion Calculations'!$F$18+'AA Exact Masses'!$Q$2-'Mass Ion Calculations'!$C$19-'Mass Ion Calculations'!$C39-'Mass Ion Calculations'!$D$5),IF('Mass Ion Calculations'!$D$7="Yes", 'Mass Ion Calculations'!$D$15+'AA Exact Masses'!$Q$2-'Mass Ion Calculations'!$C$19-'Mass Ion Calculations'!$C39-'Mass Ion Calculations'!$D$5,'Mass Ion Calculations'!$F$15+'AA Exact Masses'!$Q$2-'Mass Ion Calculations'!$C$19-'Mass Ion Calculations'!$C39-'Mass Ion Calculations'!$D$5)))</f>
        <v/>
      </c>
      <c r="R38" s="3" t="str">
        <f>IF(OR($B38="",R$3=""),"",IF('Mass Ion Calculations'!$D$6="Yes",IF('Mass Ion Calculations'!$D$7="Yes",'Mass Ion Calculations'!$D$18+'AA Exact Masses'!$Q$2-'Mass Ion Calculations'!$C$20-'Mass Ion Calculations'!$C39-'Mass Ion Calculations'!$D$5,'Mass Ion Calculations'!$F$18+'AA Exact Masses'!$Q$2-'Mass Ion Calculations'!$C$20-'Mass Ion Calculations'!$C39-'Mass Ion Calculations'!$D$5),IF('Mass Ion Calculations'!$D$7="Yes", 'Mass Ion Calculations'!$D$15+'AA Exact Masses'!$Q$2-'Mass Ion Calculations'!$C$20-'Mass Ion Calculations'!$C39-'Mass Ion Calculations'!$D$5,'Mass Ion Calculations'!$F$15+'AA Exact Masses'!$Q$2-'Mass Ion Calculations'!$C$20-'Mass Ion Calculations'!$C39-'Mass Ion Calculations'!$D$5)))</f>
        <v/>
      </c>
      <c r="S38" s="3" t="str">
        <f>IF(OR($B38="",S$3=""),"",IF('Mass Ion Calculations'!$D$6="Yes",IF('Mass Ion Calculations'!$D$7="Yes",'Mass Ion Calculations'!$D$18+'AA Exact Masses'!$Q$2-'Mass Ion Calculations'!$C$21-'Mass Ion Calculations'!$C39-'Mass Ion Calculations'!$D$5,'Mass Ion Calculations'!$F$18+'AA Exact Masses'!$Q$2-'Mass Ion Calculations'!$C$21-'Mass Ion Calculations'!$C39-'Mass Ion Calculations'!$D$5),IF('Mass Ion Calculations'!$D$7="Yes", 'Mass Ion Calculations'!$D$15+'AA Exact Masses'!$Q$2-'Mass Ion Calculations'!$C$21-'Mass Ion Calculations'!$C39-'Mass Ion Calculations'!$D$5,'Mass Ion Calculations'!$F$15+'AA Exact Masses'!$Q$2-'Mass Ion Calculations'!$C$21-'Mass Ion Calculations'!$C39-'Mass Ion Calculations'!$D$5)))</f>
        <v/>
      </c>
      <c r="T38" s="3" t="str">
        <f>IF(OR($B38="",T$3=""),"",IF('Mass Ion Calculations'!$D$6="Yes",IF('Mass Ion Calculations'!$D$7="Yes",'Mass Ion Calculations'!$D$18+'AA Exact Masses'!$Q$2-'Mass Ion Calculations'!$C$22-'Mass Ion Calculations'!$C39-'Mass Ion Calculations'!$D$5,'Mass Ion Calculations'!$F$18+'AA Exact Masses'!$Q$2-'Mass Ion Calculations'!$C$22-'Mass Ion Calculations'!$C39-'Mass Ion Calculations'!$D$5),IF('Mass Ion Calculations'!$D$7="Yes", 'Mass Ion Calculations'!$D$15+'AA Exact Masses'!$Q$2-'Mass Ion Calculations'!$C$22-'Mass Ion Calculations'!$C39-'Mass Ion Calculations'!$D$5,'Mass Ion Calculations'!$F$15+'AA Exact Masses'!$Q$2-'Mass Ion Calculations'!$C$22-'Mass Ion Calculations'!$C39-'Mass Ion Calculations'!$D$5)))</f>
        <v/>
      </c>
      <c r="U38" s="3" t="str">
        <f>IF(OR($B38="",U$3=""),"",IF('Mass Ion Calculations'!$D$6="Yes",IF('Mass Ion Calculations'!$D$7="Yes",'Mass Ion Calculations'!$D$18+'AA Exact Masses'!$Q$2-'Mass Ion Calculations'!$C$23-'Mass Ion Calculations'!$C39-'Mass Ion Calculations'!$D$5,'Mass Ion Calculations'!$F$18+'AA Exact Masses'!$Q$2-'Mass Ion Calculations'!$C$23-'Mass Ion Calculations'!$C39-'Mass Ion Calculations'!$D$5),IF('Mass Ion Calculations'!$D$7="Yes", 'Mass Ion Calculations'!$D$15+'AA Exact Masses'!$Q$2-'Mass Ion Calculations'!$C$23-'Mass Ion Calculations'!$C39-'Mass Ion Calculations'!$D$5,'Mass Ion Calculations'!$F$15+'AA Exact Masses'!$Q$2-'Mass Ion Calculations'!$C$23-'Mass Ion Calculations'!$C39-'Mass Ion Calculations'!$D$5)))</f>
        <v/>
      </c>
      <c r="V38" s="3" t="str">
        <f>IF(OR($B38="",V$3=""),"",IF('Mass Ion Calculations'!$D$6="Yes",IF('Mass Ion Calculations'!$D$7="Yes",'Mass Ion Calculations'!$D$18+'AA Exact Masses'!$Q$2-'Mass Ion Calculations'!$C$24-'Mass Ion Calculations'!$C39-'Mass Ion Calculations'!$D$5,'Mass Ion Calculations'!$F$18+'AA Exact Masses'!$Q$2-'Mass Ion Calculations'!$C$24-'Mass Ion Calculations'!$C39-'Mass Ion Calculations'!$D$5),IF('Mass Ion Calculations'!$D$7="Yes", 'Mass Ion Calculations'!$D$15+'AA Exact Masses'!$Q$2-'Mass Ion Calculations'!$C$24-'Mass Ion Calculations'!$C39-'Mass Ion Calculations'!$D$5,'Mass Ion Calculations'!$F$15+'AA Exact Masses'!$Q$2-'Mass Ion Calculations'!$C$24-'Mass Ion Calculations'!$C39-'Mass Ion Calculations'!$D$5)))</f>
        <v/>
      </c>
      <c r="W38" s="3" t="str">
        <f>IF(OR($B38="",W$3=""),"",IF('Mass Ion Calculations'!$D$6="Yes",IF('Mass Ion Calculations'!$D$7="Yes",'Mass Ion Calculations'!$D$18+'AA Exact Masses'!$Q$2-'Mass Ion Calculations'!$C$25-'Mass Ion Calculations'!$C39-'Mass Ion Calculations'!$D$5,'Mass Ion Calculations'!$F$18+'AA Exact Masses'!$Q$2-'Mass Ion Calculations'!$C$25-'Mass Ion Calculations'!$C39-'Mass Ion Calculations'!$D$5),IF('Mass Ion Calculations'!$D$7="Yes", 'Mass Ion Calculations'!$D$15+'AA Exact Masses'!$Q$2-'Mass Ion Calculations'!$C$25-'Mass Ion Calculations'!$C39-'Mass Ion Calculations'!$D$5,'Mass Ion Calculations'!$F$15+'AA Exact Masses'!$Q$2-'Mass Ion Calculations'!$C$25-'Mass Ion Calculations'!$C39-'Mass Ion Calculations'!$D$5)))</f>
        <v/>
      </c>
      <c r="X38" s="3" t="str">
        <f>IF(OR($B38="",X$3=""),"",IF('Mass Ion Calculations'!$D$6="Yes",IF('Mass Ion Calculations'!$D$7="Yes",'Mass Ion Calculations'!$D$18+'AA Exact Masses'!$Q$2-'Mass Ion Calculations'!$C$26-'Mass Ion Calculations'!$C39-'Mass Ion Calculations'!$D$5,'Mass Ion Calculations'!$F$18+'AA Exact Masses'!$Q$2-'Mass Ion Calculations'!$C$26-'Mass Ion Calculations'!$C39-'Mass Ion Calculations'!$D$5),IF('Mass Ion Calculations'!$D$7="Yes", 'Mass Ion Calculations'!$D$15+'AA Exact Masses'!$Q$2-'Mass Ion Calculations'!$C$26-'Mass Ion Calculations'!$C39-'Mass Ion Calculations'!$D$5,'Mass Ion Calculations'!$F$15+'AA Exact Masses'!$Q$2-'Mass Ion Calculations'!$C$26-'Mass Ion Calculations'!$C39-'Mass Ion Calculations'!$D$5)))</f>
        <v/>
      </c>
      <c r="Y38" s="3" t="str">
        <f>IF(OR($B38="",Y$3=""),"",IF('Mass Ion Calculations'!$D$6="Yes",('Mass Ion Calculations'!$D$15+'AA Exact Masses'!$Q$2-'Mass Ion Calculations'!$C$7-'Mass Ion Calculations'!$C39-'Mass Ion Calculations'!$D$5-18.01),('Mass Ion Calculations'!$D$15+'AA Exact Masses'!$Q$2-'Mass Ion Calculations'!$C$7-'Mass Ion Calculations'!$C39-'Mass Ion Calculations'!$D$5)))</f>
        <v/>
      </c>
      <c r="Z38" s="3" t="str">
        <f>IF(OR($B38="",Z$3=""),"",IF('Mass Ion Calculations'!$D$6="Yes",('Mass Ion Calculations'!$D$15+'AA Exact Masses'!$Q$2-'Mass Ion Calculations'!$C$7-'Mass Ion Calculations'!$C39-'Mass Ion Calculations'!$D$5-18.01),('Mass Ion Calculations'!$D$15+'AA Exact Masses'!$Q$2-'Mass Ion Calculations'!$C$7-'Mass Ion Calculations'!$C39-'Mass Ion Calculations'!$D$5)))</f>
        <v/>
      </c>
    </row>
    <row r="39" spans="3:26" x14ac:dyDescent="0.25">
      <c r="C39" s="3" t="str">
        <f>IF(OR($B39="",C$3=""),"",IF('Mass Ion Calculations'!$D$6="Yes",IF('Mass Ion Calculations'!$D$7="Yes",'Mass Ion Calculations'!$D$18+'AA Exact Masses'!$Q$2-'Mass Ion Calculations'!$C$5-'Mass Ion Calculations'!$C40-'Mass Ion Calculations'!$D$5,'Mass Ion Calculations'!$F$18+'AA Exact Masses'!$Q$2-'Mass Ion Calculations'!C40-'Mass Ion Calculations'!C40-'Mass Ion Calculations'!$D$5),IF('Mass Ion Calculations'!$D$7="Yes", 'Mass Ion Calculations'!$D$15+'AA Exact Masses'!$Q$2-'Mass Ion Calculations'!$C$5-'Mass Ion Calculations'!$C40-'Mass Ion Calculations'!$D$5,'Mass Ion Calculations'!$F$15+'AA Exact Masses'!$Q$2-'Mass Ion Calculations'!C40-'Mass Ion Calculations'!C40-'Mass Ion Calculations'!$D$5)))</f>
        <v/>
      </c>
      <c r="D39" s="3" t="str">
        <f>IF(OR($B39="",D$3=""),"",IF('Mass Ion Calculations'!$D$6="Yes",IF('Mass Ion Calculations'!$D$7="Yes",'Mass Ion Calculations'!$D$18+'AA Exact Masses'!$Q$2-'Mass Ion Calculations'!$C$6-'Mass Ion Calculations'!$C40-'Mass Ion Calculations'!$D$5,'Mass Ion Calculations'!$F$18+'AA Exact Masses'!$Q$2-'Mass Ion Calculations'!$C$6-'Mass Ion Calculations'!$C40-'Mass Ion Calculations'!$D$5),IF('Mass Ion Calculations'!$D$7="Yes", 'Mass Ion Calculations'!$D$15+'AA Exact Masses'!$Q$2-'Mass Ion Calculations'!$C$6-'Mass Ion Calculations'!$C40-'Mass Ion Calculations'!$D$5,'Mass Ion Calculations'!$F$15+'AA Exact Masses'!$Q$2-'Mass Ion Calculations'!$C$6-'Mass Ion Calculations'!$C40-'Mass Ion Calculations'!$D$5)))</f>
        <v/>
      </c>
      <c r="E39" s="3" t="str">
        <f>IF(OR($B39="",E$3=""),"",IF('Mass Ion Calculations'!$D$6="Yes",IF('Mass Ion Calculations'!$D$7="Yes",'Mass Ion Calculations'!$D$18+'AA Exact Masses'!$Q$2-'Mass Ion Calculations'!$C$7-'Mass Ion Calculations'!$C40-'Mass Ion Calculations'!$D$5,'Mass Ion Calculations'!$F$18+'AA Exact Masses'!$Q$2-'Mass Ion Calculations'!$C$7-'Mass Ion Calculations'!$C40-'Mass Ion Calculations'!$D$5),IF('Mass Ion Calculations'!$D$7="Yes", 'Mass Ion Calculations'!$D$15+'AA Exact Masses'!$Q$2-'Mass Ion Calculations'!$C$7-'Mass Ion Calculations'!$C40-'Mass Ion Calculations'!$D$5,'Mass Ion Calculations'!$F$15+'AA Exact Masses'!$Q$2-'Mass Ion Calculations'!$C$7-'Mass Ion Calculations'!$C40-'Mass Ion Calculations'!$D$5)))</f>
        <v/>
      </c>
      <c r="G39" s="3" t="str">
        <f>IF(OR($B39="",G$3=""),"",IF('Mass Ion Calculations'!$D$6="Yes",IF('Mass Ion Calculations'!$D$7="Yes",'Mass Ion Calculations'!$D$18+'AA Exact Masses'!$Q$2-'Mass Ion Calculations'!$C$9-'Mass Ion Calculations'!$C40-'Mass Ion Calculations'!$D$5,'Mass Ion Calculations'!$F$18+'AA Exact Masses'!$Q$2-'Mass Ion Calculations'!$C$9-'Mass Ion Calculations'!$C40-'Mass Ion Calculations'!$D$5),IF('Mass Ion Calculations'!$D$7="Yes", 'Mass Ion Calculations'!$D$15+'AA Exact Masses'!$Q$2-'Mass Ion Calculations'!$C$9-'Mass Ion Calculations'!$C40-'Mass Ion Calculations'!$D$5,'Mass Ion Calculations'!$F$15+'AA Exact Masses'!$Q$2-'Mass Ion Calculations'!$C$9-'Mass Ion Calculations'!$C40-'Mass Ion Calculations'!$D$5)))</f>
        <v/>
      </c>
      <c r="H39" s="3" t="str">
        <f>IF(OR($B39="",H$3=""),"",IF('Mass Ion Calculations'!$D$6="Yes",IF('Mass Ion Calculations'!$D$7="Yes",'Mass Ion Calculations'!$D$18+'AA Exact Masses'!$Q$2-'Mass Ion Calculations'!$C$10-'Mass Ion Calculations'!$C40-'Mass Ion Calculations'!$D$5,'Mass Ion Calculations'!$F$18+'AA Exact Masses'!$Q$2-'Mass Ion Calculations'!$C$10-'Mass Ion Calculations'!$C40-'Mass Ion Calculations'!$D$5),IF('Mass Ion Calculations'!$D$7="Yes", 'Mass Ion Calculations'!$D$15+'AA Exact Masses'!$Q$2-'Mass Ion Calculations'!$C$10-'Mass Ion Calculations'!$C40-'Mass Ion Calculations'!$D$5,'Mass Ion Calculations'!$F$15+'AA Exact Masses'!$Q$2-'Mass Ion Calculations'!$C$10-'Mass Ion Calculations'!$C40-'Mass Ion Calculations'!$D$5)))</f>
        <v/>
      </c>
      <c r="I39" s="3" t="str">
        <f>IF(OR($B39="",I$3=""),"",IF('Mass Ion Calculations'!$D$6="Yes",IF('Mass Ion Calculations'!$D$7="Yes",'Mass Ion Calculations'!$D$18+'AA Exact Masses'!$Q$2-'Mass Ion Calculations'!$C$11-'Mass Ion Calculations'!$C40-'Mass Ion Calculations'!$D$5,'Mass Ion Calculations'!$F$18+'AA Exact Masses'!$Q$2-'Mass Ion Calculations'!$C$11-'Mass Ion Calculations'!$C40-'Mass Ion Calculations'!$D$5),IF('Mass Ion Calculations'!$D$7="Yes", 'Mass Ion Calculations'!$D$15+'AA Exact Masses'!$Q$2-'Mass Ion Calculations'!$C$11-'Mass Ion Calculations'!$C40-'Mass Ion Calculations'!$D$5,'Mass Ion Calculations'!$F$15+'AA Exact Masses'!$Q$2-'Mass Ion Calculations'!$C$11-'Mass Ion Calculations'!$C40-'Mass Ion Calculations'!$D$5)))</f>
        <v/>
      </c>
      <c r="K39" s="3" t="str">
        <f>IF(OR($B39="",K$3=""),"",IF('Mass Ion Calculations'!$D$6="Yes",IF('Mass Ion Calculations'!$D$7="Yes",'Mass Ion Calculations'!$D$18+'AA Exact Masses'!$Q$2-'Mass Ion Calculations'!$C$13-'Mass Ion Calculations'!$C40-'Mass Ion Calculations'!$D$5,'Mass Ion Calculations'!$F$18+'AA Exact Masses'!$Q$2-'Mass Ion Calculations'!$C$13-'Mass Ion Calculations'!$C40-'Mass Ion Calculations'!$D$5),IF('Mass Ion Calculations'!$D$7="Yes", 'Mass Ion Calculations'!$D$15+'AA Exact Masses'!$Q$2-'Mass Ion Calculations'!$C$13-'Mass Ion Calculations'!$C40-'Mass Ion Calculations'!$D$5,'Mass Ion Calculations'!$F$15+'AA Exact Masses'!$Q$2-'Mass Ion Calculations'!$C$13-'Mass Ion Calculations'!$C40-'Mass Ion Calculations'!$D$5)))</f>
        <v/>
      </c>
      <c r="L39" s="3" t="str">
        <f>IF(OR($B39="",L$3=""),"",IF('Mass Ion Calculations'!$D$6="Yes",IF('Mass Ion Calculations'!$D$7="Yes",'Mass Ion Calculations'!$D$18+'AA Exact Masses'!$Q$2-'Mass Ion Calculations'!$C$14-'Mass Ion Calculations'!$C40-'Mass Ion Calculations'!$D$5,'Mass Ion Calculations'!$F$18+'AA Exact Masses'!$Q$2-'Mass Ion Calculations'!$C$14-'Mass Ion Calculations'!$C40-'Mass Ion Calculations'!$D$5),IF('Mass Ion Calculations'!$D$7="Yes", 'Mass Ion Calculations'!$D$15+'AA Exact Masses'!$Q$2-'Mass Ion Calculations'!$C$14-'Mass Ion Calculations'!$C40-'Mass Ion Calculations'!$D$5,'Mass Ion Calculations'!$F$15+'AA Exact Masses'!$Q$2-'Mass Ion Calculations'!$C$14-'Mass Ion Calculations'!$C40-'Mass Ion Calculations'!$D$5)))</f>
        <v/>
      </c>
      <c r="M39" s="3" t="str">
        <f>IF(OR($B39="",M$3=""),"",IF('Mass Ion Calculations'!$D$6="Yes",IF('Mass Ion Calculations'!$D$7="Yes",'Mass Ion Calculations'!$D$18+'AA Exact Masses'!$Q$2-'Mass Ion Calculations'!$C$15-'Mass Ion Calculations'!$C40-'Mass Ion Calculations'!$D$5,'Mass Ion Calculations'!$F$18+'AA Exact Masses'!$Q$2-'Mass Ion Calculations'!$C$15-'Mass Ion Calculations'!$C40-'Mass Ion Calculations'!$D$5),IF('Mass Ion Calculations'!$D$7="Yes", 'Mass Ion Calculations'!$D$15+'AA Exact Masses'!$Q$2-'Mass Ion Calculations'!$C$15-'Mass Ion Calculations'!$C40-'Mass Ion Calculations'!$D$5,'Mass Ion Calculations'!$F$15+'AA Exact Masses'!$Q$2-'Mass Ion Calculations'!$C$15-'Mass Ion Calculations'!$C40-'Mass Ion Calculations'!$D$5)))</f>
        <v/>
      </c>
      <c r="N39" s="3" t="str">
        <f>IF(OR($B39="",N$3=""),"",IF('Mass Ion Calculations'!$D$6="Yes",IF('Mass Ion Calculations'!$D$7="Yes",'Mass Ion Calculations'!$D$18+'AA Exact Masses'!$Q$2-'Mass Ion Calculations'!$C$16-'Mass Ion Calculations'!$C40-'Mass Ion Calculations'!$D$5,'Mass Ion Calculations'!$F$18+'AA Exact Masses'!$Q$2-'Mass Ion Calculations'!$C$16-'Mass Ion Calculations'!$C40-'Mass Ion Calculations'!$D$5),IF('Mass Ion Calculations'!$D$7="Yes", 'Mass Ion Calculations'!$D$15+'AA Exact Masses'!$Q$2-'Mass Ion Calculations'!$C$16-'Mass Ion Calculations'!$C40-'Mass Ion Calculations'!$D$5,'Mass Ion Calculations'!$F$15+'AA Exact Masses'!$Q$2-'Mass Ion Calculations'!$C$16-'Mass Ion Calculations'!$C40-'Mass Ion Calculations'!$D$5)))</f>
        <v/>
      </c>
      <c r="O39" s="3" t="str">
        <f>IF(OR($B39="",O$3=""),"",IF('Mass Ion Calculations'!$D$6="Yes",IF('Mass Ion Calculations'!$D$7="Yes",'Mass Ion Calculations'!$D$18+'AA Exact Masses'!$Q$2-'Mass Ion Calculations'!$C$17-'Mass Ion Calculations'!$C40-'Mass Ion Calculations'!$D$5,'Mass Ion Calculations'!$F$18+'AA Exact Masses'!$Q$2-'Mass Ion Calculations'!$C$17-'Mass Ion Calculations'!$C40-'Mass Ion Calculations'!$D$5),IF('Mass Ion Calculations'!$D$7="Yes", 'Mass Ion Calculations'!$D$15+'AA Exact Masses'!$Q$2-'Mass Ion Calculations'!$C$17-'Mass Ion Calculations'!$C40-'Mass Ion Calculations'!$D$5,'Mass Ion Calculations'!$F$15+'AA Exact Masses'!$Q$2-'Mass Ion Calculations'!$C$17-'Mass Ion Calculations'!$C40-'Mass Ion Calculations'!$D$5)))</f>
        <v/>
      </c>
      <c r="P39" s="3" t="str">
        <f>IF(OR($B39="",P$3=""),"",IF('Mass Ion Calculations'!$D$6="Yes",IF('Mass Ion Calculations'!$D$7="Yes",'Mass Ion Calculations'!$D$18+'AA Exact Masses'!$Q$2-'Mass Ion Calculations'!$C$18-'Mass Ion Calculations'!$C40-'Mass Ion Calculations'!$D$5,'Mass Ion Calculations'!$F$18+'AA Exact Masses'!$Q$2-'Mass Ion Calculations'!$C$18-'Mass Ion Calculations'!$C40-'Mass Ion Calculations'!$D$5),IF('Mass Ion Calculations'!$D$7="Yes", 'Mass Ion Calculations'!$D$15+'AA Exact Masses'!$Q$2-'Mass Ion Calculations'!$C$18-'Mass Ion Calculations'!$C40-'Mass Ion Calculations'!$D$5,'Mass Ion Calculations'!$F$15+'AA Exact Masses'!$Q$2-'Mass Ion Calculations'!$C$18-'Mass Ion Calculations'!$C40-'Mass Ion Calculations'!$D$5)))</f>
        <v/>
      </c>
      <c r="Q39" s="3" t="str">
        <f>IF(OR($B39="",Q$3=""),"",IF('Mass Ion Calculations'!$D$6="Yes",IF('Mass Ion Calculations'!$D$7="Yes",'Mass Ion Calculations'!$D$18+'AA Exact Masses'!$Q$2-'Mass Ion Calculations'!$C$19-'Mass Ion Calculations'!$C40-'Mass Ion Calculations'!$D$5,'Mass Ion Calculations'!$F$18+'AA Exact Masses'!$Q$2-'Mass Ion Calculations'!$C$19-'Mass Ion Calculations'!$C40-'Mass Ion Calculations'!$D$5),IF('Mass Ion Calculations'!$D$7="Yes", 'Mass Ion Calculations'!$D$15+'AA Exact Masses'!$Q$2-'Mass Ion Calculations'!$C$19-'Mass Ion Calculations'!$C40-'Mass Ion Calculations'!$D$5,'Mass Ion Calculations'!$F$15+'AA Exact Masses'!$Q$2-'Mass Ion Calculations'!$C$19-'Mass Ion Calculations'!$C40-'Mass Ion Calculations'!$D$5)))</f>
        <v/>
      </c>
      <c r="R39" s="3" t="str">
        <f>IF(OR($B39="",R$3=""),"",IF('Mass Ion Calculations'!$D$6="Yes",IF('Mass Ion Calculations'!$D$7="Yes",'Mass Ion Calculations'!$D$18+'AA Exact Masses'!$Q$2-'Mass Ion Calculations'!$C$20-'Mass Ion Calculations'!$C40-'Mass Ion Calculations'!$D$5,'Mass Ion Calculations'!$F$18+'AA Exact Masses'!$Q$2-'Mass Ion Calculations'!$C$20-'Mass Ion Calculations'!$C40-'Mass Ion Calculations'!$D$5),IF('Mass Ion Calculations'!$D$7="Yes", 'Mass Ion Calculations'!$D$15+'AA Exact Masses'!$Q$2-'Mass Ion Calculations'!$C$20-'Mass Ion Calculations'!$C40-'Mass Ion Calculations'!$D$5,'Mass Ion Calculations'!$F$15+'AA Exact Masses'!$Q$2-'Mass Ion Calculations'!$C$20-'Mass Ion Calculations'!$C40-'Mass Ion Calculations'!$D$5)))</f>
        <v/>
      </c>
      <c r="S39" s="3" t="str">
        <f>IF(OR($B39="",S$3=""),"",IF('Mass Ion Calculations'!$D$6="Yes",IF('Mass Ion Calculations'!$D$7="Yes",'Mass Ion Calculations'!$D$18+'AA Exact Masses'!$Q$2-'Mass Ion Calculations'!$C$21-'Mass Ion Calculations'!$C40-'Mass Ion Calculations'!$D$5,'Mass Ion Calculations'!$F$18+'AA Exact Masses'!$Q$2-'Mass Ion Calculations'!$C$21-'Mass Ion Calculations'!$C40-'Mass Ion Calculations'!$D$5),IF('Mass Ion Calculations'!$D$7="Yes", 'Mass Ion Calculations'!$D$15+'AA Exact Masses'!$Q$2-'Mass Ion Calculations'!$C$21-'Mass Ion Calculations'!$C40-'Mass Ion Calculations'!$D$5,'Mass Ion Calculations'!$F$15+'AA Exact Masses'!$Q$2-'Mass Ion Calculations'!$C$21-'Mass Ion Calculations'!$C40-'Mass Ion Calculations'!$D$5)))</f>
        <v/>
      </c>
      <c r="T39" s="3" t="str">
        <f>IF(OR($B39="",T$3=""),"",IF('Mass Ion Calculations'!$D$6="Yes",IF('Mass Ion Calculations'!$D$7="Yes",'Mass Ion Calculations'!$D$18+'AA Exact Masses'!$Q$2-'Mass Ion Calculations'!$C$22-'Mass Ion Calculations'!$C40-'Mass Ion Calculations'!$D$5,'Mass Ion Calculations'!$F$18+'AA Exact Masses'!$Q$2-'Mass Ion Calculations'!$C$22-'Mass Ion Calculations'!$C40-'Mass Ion Calculations'!$D$5),IF('Mass Ion Calculations'!$D$7="Yes", 'Mass Ion Calculations'!$D$15+'AA Exact Masses'!$Q$2-'Mass Ion Calculations'!$C$22-'Mass Ion Calculations'!$C40-'Mass Ion Calculations'!$D$5,'Mass Ion Calculations'!$F$15+'AA Exact Masses'!$Q$2-'Mass Ion Calculations'!$C$22-'Mass Ion Calculations'!$C40-'Mass Ion Calculations'!$D$5)))</f>
        <v/>
      </c>
      <c r="U39" s="3" t="str">
        <f>IF(OR($B39="",U$3=""),"",IF('Mass Ion Calculations'!$D$6="Yes",IF('Mass Ion Calculations'!$D$7="Yes",'Mass Ion Calculations'!$D$18+'AA Exact Masses'!$Q$2-'Mass Ion Calculations'!$C$23-'Mass Ion Calculations'!$C40-'Mass Ion Calculations'!$D$5,'Mass Ion Calculations'!$F$18+'AA Exact Masses'!$Q$2-'Mass Ion Calculations'!$C$23-'Mass Ion Calculations'!$C40-'Mass Ion Calculations'!$D$5),IF('Mass Ion Calculations'!$D$7="Yes", 'Mass Ion Calculations'!$D$15+'AA Exact Masses'!$Q$2-'Mass Ion Calculations'!$C$23-'Mass Ion Calculations'!$C40-'Mass Ion Calculations'!$D$5,'Mass Ion Calculations'!$F$15+'AA Exact Masses'!$Q$2-'Mass Ion Calculations'!$C$23-'Mass Ion Calculations'!$C40-'Mass Ion Calculations'!$D$5)))</f>
        <v/>
      </c>
      <c r="V39" s="3" t="str">
        <f>IF(OR($B39="",V$3=""),"",IF('Mass Ion Calculations'!$D$6="Yes",IF('Mass Ion Calculations'!$D$7="Yes",'Mass Ion Calculations'!$D$18+'AA Exact Masses'!$Q$2-'Mass Ion Calculations'!$C$24-'Mass Ion Calculations'!$C40-'Mass Ion Calculations'!$D$5,'Mass Ion Calculations'!$F$18+'AA Exact Masses'!$Q$2-'Mass Ion Calculations'!$C$24-'Mass Ion Calculations'!$C40-'Mass Ion Calculations'!$D$5),IF('Mass Ion Calculations'!$D$7="Yes", 'Mass Ion Calculations'!$D$15+'AA Exact Masses'!$Q$2-'Mass Ion Calculations'!$C$24-'Mass Ion Calculations'!$C40-'Mass Ion Calculations'!$D$5,'Mass Ion Calculations'!$F$15+'AA Exact Masses'!$Q$2-'Mass Ion Calculations'!$C$24-'Mass Ion Calculations'!$C40-'Mass Ion Calculations'!$D$5)))</f>
        <v/>
      </c>
      <c r="W39" s="3" t="str">
        <f>IF(OR($B39="",W$3=""),"",IF('Mass Ion Calculations'!$D$6="Yes",IF('Mass Ion Calculations'!$D$7="Yes",'Mass Ion Calculations'!$D$18+'AA Exact Masses'!$Q$2-'Mass Ion Calculations'!$C$25-'Mass Ion Calculations'!$C40-'Mass Ion Calculations'!$D$5,'Mass Ion Calculations'!$F$18+'AA Exact Masses'!$Q$2-'Mass Ion Calculations'!$C$25-'Mass Ion Calculations'!$C40-'Mass Ion Calculations'!$D$5),IF('Mass Ion Calculations'!$D$7="Yes", 'Mass Ion Calculations'!$D$15+'AA Exact Masses'!$Q$2-'Mass Ion Calculations'!$C$25-'Mass Ion Calculations'!$C40-'Mass Ion Calculations'!$D$5,'Mass Ion Calculations'!$F$15+'AA Exact Masses'!$Q$2-'Mass Ion Calculations'!$C$25-'Mass Ion Calculations'!$C40-'Mass Ion Calculations'!$D$5)))</f>
        <v/>
      </c>
      <c r="X39" s="3" t="str">
        <f>IF(OR($B39="",X$3=""),"",IF('Mass Ion Calculations'!$D$6="Yes",IF('Mass Ion Calculations'!$D$7="Yes",'Mass Ion Calculations'!$D$18+'AA Exact Masses'!$Q$2-'Mass Ion Calculations'!$C$26-'Mass Ion Calculations'!$C40-'Mass Ion Calculations'!$D$5,'Mass Ion Calculations'!$F$18+'AA Exact Masses'!$Q$2-'Mass Ion Calculations'!$C$26-'Mass Ion Calculations'!$C40-'Mass Ion Calculations'!$D$5),IF('Mass Ion Calculations'!$D$7="Yes", 'Mass Ion Calculations'!$D$15+'AA Exact Masses'!$Q$2-'Mass Ion Calculations'!$C$26-'Mass Ion Calculations'!$C40-'Mass Ion Calculations'!$D$5,'Mass Ion Calculations'!$F$15+'AA Exact Masses'!$Q$2-'Mass Ion Calculations'!$C$26-'Mass Ion Calculations'!$C40-'Mass Ion Calculations'!$D$5)))</f>
        <v/>
      </c>
      <c r="Y39" s="3" t="str">
        <f>IF(OR($B39="",Y$3=""),"",IF('Mass Ion Calculations'!$D$6="Yes",('Mass Ion Calculations'!$D$15+'AA Exact Masses'!$Q$2-'Mass Ion Calculations'!$C$7-'Mass Ion Calculations'!$C40-'Mass Ion Calculations'!$D$5-18.01),('Mass Ion Calculations'!$D$15+'AA Exact Masses'!$Q$2-'Mass Ion Calculations'!$C$7-'Mass Ion Calculations'!$C40-'Mass Ion Calculations'!$D$5)))</f>
        <v/>
      </c>
      <c r="Z39" s="3" t="str">
        <f>IF(OR($B39="",Z$3=""),"",IF('Mass Ion Calculations'!$D$6="Yes",('Mass Ion Calculations'!$D$15+'AA Exact Masses'!$Q$2-'Mass Ion Calculations'!$C$7-'Mass Ion Calculations'!$C40-'Mass Ion Calculations'!$D$5-18.01),('Mass Ion Calculations'!$D$15+'AA Exact Masses'!$Q$2-'Mass Ion Calculations'!$C$7-'Mass Ion Calculations'!$C40-'Mass Ion Calculations'!$D$5)))</f>
        <v/>
      </c>
    </row>
    <row r="40" spans="3:26" x14ac:dyDescent="0.25">
      <c r="C40" s="3" t="str">
        <f>IF(OR($B40="",C$3=""),"",IF('Mass Ion Calculations'!$D$6="Yes",IF('Mass Ion Calculations'!$D$7="Yes",'Mass Ion Calculations'!$D$18+'AA Exact Masses'!$Q$2-'Mass Ion Calculations'!$C$5-'Mass Ion Calculations'!$C41-'Mass Ion Calculations'!$D$5,'Mass Ion Calculations'!$F$18+'AA Exact Masses'!$Q$2-'Mass Ion Calculations'!C41-'Mass Ion Calculations'!C41-'Mass Ion Calculations'!$D$5),IF('Mass Ion Calculations'!$D$7="Yes", 'Mass Ion Calculations'!$D$15+'AA Exact Masses'!$Q$2-'Mass Ion Calculations'!$C$5-'Mass Ion Calculations'!$C41-'Mass Ion Calculations'!$D$5,'Mass Ion Calculations'!$F$15+'AA Exact Masses'!$Q$2-'Mass Ion Calculations'!C41-'Mass Ion Calculations'!C41-'Mass Ion Calculations'!$D$5)))</f>
        <v/>
      </c>
      <c r="D40" s="3" t="str">
        <f>IF(OR($B40="",D$3=""),"",IF('Mass Ion Calculations'!$D$6="Yes",IF('Mass Ion Calculations'!$D$7="Yes",'Mass Ion Calculations'!$D$18+'AA Exact Masses'!$Q$2-'Mass Ion Calculations'!$C$6-'Mass Ion Calculations'!$C41-'Mass Ion Calculations'!$D$5,'Mass Ion Calculations'!$F$18+'AA Exact Masses'!$Q$2-'Mass Ion Calculations'!$C$6-'Mass Ion Calculations'!$C41-'Mass Ion Calculations'!$D$5),IF('Mass Ion Calculations'!$D$7="Yes", 'Mass Ion Calculations'!$D$15+'AA Exact Masses'!$Q$2-'Mass Ion Calculations'!$C$6-'Mass Ion Calculations'!$C41-'Mass Ion Calculations'!$D$5,'Mass Ion Calculations'!$F$15+'AA Exact Masses'!$Q$2-'Mass Ion Calculations'!$C$6-'Mass Ion Calculations'!$C41-'Mass Ion Calculations'!$D$5)))</f>
        <v/>
      </c>
      <c r="E40" s="3" t="str">
        <f>IF(OR($B40="",E$3=""),"",IF('Mass Ion Calculations'!$D$6="Yes",IF('Mass Ion Calculations'!$D$7="Yes",'Mass Ion Calculations'!$D$18+'AA Exact Masses'!$Q$2-'Mass Ion Calculations'!$C$7-'Mass Ion Calculations'!$C41-'Mass Ion Calculations'!$D$5,'Mass Ion Calculations'!$F$18+'AA Exact Masses'!$Q$2-'Mass Ion Calculations'!$C$7-'Mass Ion Calculations'!$C41-'Mass Ion Calculations'!$D$5),IF('Mass Ion Calculations'!$D$7="Yes", 'Mass Ion Calculations'!$D$15+'AA Exact Masses'!$Q$2-'Mass Ion Calculations'!$C$7-'Mass Ion Calculations'!$C41-'Mass Ion Calculations'!$D$5,'Mass Ion Calculations'!$F$15+'AA Exact Masses'!$Q$2-'Mass Ion Calculations'!$C$7-'Mass Ion Calculations'!$C41-'Mass Ion Calculations'!$D$5)))</f>
        <v/>
      </c>
      <c r="G40" s="3" t="str">
        <f>IF(OR($B40="",G$3=""),"",IF('Mass Ion Calculations'!$D$6="Yes",IF('Mass Ion Calculations'!$D$7="Yes",'Mass Ion Calculations'!$D$18+'AA Exact Masses'!$Q$2-'Mass Ion Calculations'!$C$9-'Mass Ion Calculations'!$C41-'Mass Ion Calculations'!$D$5,'Mass Ion Calculations'!$F$18+'AA Exact Masses'!$Q$2-'Mass Ion Calculations'!$C$9-'Mass Ion Calculations'!$C41-'Mass Ion Calculations'!$D$5),IF('Mass Ion Calculations'!$D$7="Yes", 'Mass Ion Calculations'!$D$15+'AA Exact Masses'!$Q$2-'Mass Ion Calculations'!$C$9-'Mass Ion Calculations'!$C41-'Mass Ion Calculations'!$D$5,'Mass Ion Calculations'!$F$15+'AA Exact Masses'!$Q$2-'Mass Ion Calculations'!$C$9-'Mass Ion Calculations'!$C41-'Mass Ion Calculations'!$D$5)))</f>
        <v/>
      </c>
      <c r="H40" s="3" t="str">
        <f>IF(OR($B40="",H$3=""),"",IF('Mass Ion Calculations'!$D$6="Yes",IF('Mass Ion Calculations'!$D$7="Yes",'Mass Ion Calculations'!$D$18+'AA Exact Masses'!$Q$2-'Mass Ion Calculations'!$C$10-'Mass Ion Calculations'!$C41-'Mass Ion Calculations'!$D$5,'Mass Ion Calculations'!$F$18+'AA Exact Masses'!$Q$2-'Mass Ion Calculations'!$C$10-'Mass Ion Calculations'!$C41-'Mass Ion Calculations'!$D$5),IF('Mass Ion Calculations'!$D$7="Yes", 'Mass Ion Calculations'!$D$15+'AA Exact Masses'!$Q$2-'Mass Ion Calculations'!$C$10-'Mass Ion Calculations'!$C41-'Mass Ion Calculations'!$D$5,'Mass Ion Calculations'!$F$15+'AA Exact Masses'!$Q$2-'Mass Ion Calculations'!$C$10-'Mass Ion Calculations'!$C41-'Mass Ion Calculations'!$D$5)))</f>
        <v/>
      </c>
      <c r="I40" s="3" t="str">
        <f>IF(OR($B40="",I$3=""),"",IF('Mass Ion Calculations'!$D$6="Yes",IF('Mass Ion Calculations'!$D$7="Yes",'Mass Ion Calculations'!$D$18+'AA Exact Masses'!$Q$2-'Mass Ion Calculations'!$C$11-'Mass Ion Calculations'!$C41-'Mass Ion Calculations'!$D$5,'Mass Ion Calculations'!$F$18+'AA Exact Masses'!$Q$2-'Mass Ion Calculations'!$C$11-'Mass Ion Calculations'!$C41-'Mass Ion Calculations'!$D$5),IF('Mass Ion Calculations'!$D$7="Yes", 'Mass Ion Calculations'!$D$15+'AA Exact Masses'!$Q$2-'Mass Ion Calculations'!$C$11-'Mass Ion Calculations'!$C41-'Mass Ion Calculations'!$D$5,'Mass Ion Calculations'!$F$15+'AA Exact Masses'!$Q$2-'Mass Ion Calculations'!$C$11-'Mass Ion Calculations'!$C41-'Mass Ion Calculations'!$D$5)))</f>
        <v/>
      </c>
      <c r="K40" s="3" t="str">
        <f>IF(OR($B40="",K$3=""),"",IF('Mass Ion Calculations'!$D$6="Yes",IF('Mass Ion Calculations'!$D$7="Yes",'Mass Ion Calculations'!$D$18+'AA Exact Masses'!$Q$2-'Mass Ion Calculations'!$C$13-'Mass Ion Calculations'!$C41-'Mass Ion Calculations'!$D$5,'Mass Ion Calculations'!$F$18+'AA Exact Masses'!$Q$2-'Mass Ion Calculations'!$C$13-'Mass Ion Calculations'!$C41-'Mass Ion Calculations'!$D$5),IF('Mass Ion Calculations'!$D$7="Yes", 'Mass Ion Calculations'!$D$15+'AA Exact Masses'!$Q$2-'Mass Ion Calculations'!$C$13-'Mass Ion Calculations'!$C41-'Mass Ion Calculations'!$D$5,'Mass Ion Calculations'!$F$15+'AA Exact Masses'!$Q$2-'Mass Ion Calculations'!$C$13-'Mass Ion Calculations'!$C41-'Mass Ion Calculations'!$D$5)))</f>
        <v/>
      </c>
      <c r="L40" s="3" t="str">
        <f>IF(OR($B40="",L$3=""),"",IF('Mass Ion Calculations'!$D$6="Yes",IF('Mass Ion Calculations'!$D$7="Yes",'Mass Ion Calculations'!$D$18+'AA Exact Masses'!$Q$2-'Mass Ion Calculations'!$C$14-'Mass Ion Calculations'!$C41-'Mass Ion Calculations'!$D$5,'Mass Ion Calculations'!$F$18+'AA Exact Masses'!$Q$2-'Mass Ion Calculations'!$C$14-'Mass Ion Calculations'!$C41-'Mass Ion Calculations'!$D$5),IF('Mass Ion Calculations'!$D$7="Yes", 'Mass Ion Calculations'!$D$15+'AA Exact Masses'!$Q$2-'Mass Ion Calculations'!$C$14-'Mass Ion Calculations'!$C41-'Mass Ion Calculations'!$D$5,'Mass Ion Calculations'!$F$15+'AA Exact Masses'!$Q$2-'Mass Ion Calculations'!$C$14-'Mass Ion Calculations'!$C41-'Mass Ion Calculations'!$D$5)))</f>
        <v/>
      </c>
      <c r="M40" s="3" t="str">
        <f>IF(OR($B40="",M$3=""),"",IF('Mass Ion Calculations'!$D$6="Yes",IF('Mass Ion Calculations'!$D$7="Yes",'Mass Ion Calculations'!$D$18+'AA Exact Masses'!$Q$2-'Mass Ion Calculations'!$C$15-'Mass Ion Calculations'!$C41-'Mass Ion Calculations'!$D$5,'Mass Ion Calculations'!$F$18+'AA Exact Masses'!$Q$2-'Mass Ion Calculations'!$C$15-'Mass Ion Calculations'!$C41-'Mass Ion Calculations'!$D$5),IF('Mass Ion Calculations'!$D$7="Yes", 'Mass Ion Calculations'!$D$15+'AA Exact Masses'!$Q$2-'Mass Ion Calculations'!$C$15-'Mass Ion Calculations'!$C41-'Mass Ion Calculations'!$D$5,'Mass Ion Calculations'!$F$15+'AA Exact Masses'!$Q$2-'Mass Ion Calculations'!$C$15-'Mass Ion Calculations'!$C41-'Mass Ion Calculations'!$D$5)))</f>
        <v/>
      </c>
      <c r="N40" s="3" t="str">
        <f>IF(OR($B40="",N$3=""),"",IF('Mass Ion Calculations'!$D$6="Yes",IF('Mass Ion Calculations'!$D$7="Yes",'Mass Ion Calculations'!$D$18+'AA Exact Masses'!$Q$2-'Mass Ion Calculations'!$C$16-'Mass Ion Calculations'!$C41-'Mass Ion Calculations'!$D$5,'Mass Ion Calculations'!$F$18+'AA Exact Masses'!$Q$2-'Mass Ion Calculations'!$C$16-'Mass Ion Calculations'!$C41-'Mass Ion Calculations'!$D$5),IF('Mass Ion Calculations'!$D$7="Yes", 'Mass Ion Calculations'!$D$15+'AA Exact Masses'!$Q$2-'Mass Ion Calculations'!$C$16-'Mass Ion Calculations'!$C41-'Mass Ion Calculations'!$D$5,'Mass Ion Calculations'!$F$15+'AA Exact Masses'!$Q$2-'Mass Ion Calculations'!$C$16-'Mass Ion Calculations'!$C41-'Mass Ion Calculations'!$D$5)))</f>
        <v/>
      </c>
      <c r="O40" s="3" t="str">
        <f>IF(OR($B40="",O$3=""),"",IF('Mass Ion Calculations'!$D$6="Yes",IF('Mass Ion Calculations'!$D$7="Yes",'Mass Ion Calculations'!$D$18+'AA Exact Masses'!$Q$2-'Mass Ion Calculations'!$C$17-'Mass Ion Calculations'!$C41-'Mass Ion Calculations'!$D$5,'Mass Ion Calculations'!$F$18+'AA Exact Masses'!$Q$2-'Mass Ion Calculations'!$C$17-'Mass Ion Calculations'!$C41-'Mass Ion Calculations'!$D$5),IF('Mass Ion Calculations'!$D$7="Yes", 'Mass Ion Calculations'!$D$15+'AA Exact Masses'!$Q$2-'Mass Ion Calculations'!$C$17-'Mass Ion Calculations'!$C41-'Mass Ion Calculations'!$D$5,'Mass Ion Calculations'!$F$15+'AA Exact Masses'!$Q$2-'Mass Ion Calculations'!$C$17-'Mass Ion Calculations'!$C41-'Mass Ion Calculations'!$D$5)))</f>
        <v/>
      </c>
      <c r="P40" s="3" t="str">
        <f>IF(OR($B40="",P$3=""),"",IF('Mass Ion Calculations'!$D$6="Yes",IF('Mass Ion Calculations'!$D$7="Yes",'Mass Ion Calculations'!$D$18+'AA Exact Masses'!$Q$2-'Mass Ion Calculations'!$C$18-'Mass Ion Calculations'!$C41-'Mass Ion Calculations'!$D$5,'Mass Ion Calculations'!$F$18+'AA Exact Masses'!$Q$2-'Mass Ion Calculations'!$C$18-'Mass Ion Calculations'!$C41-'Mass Ion Calculations'!$D$5),IF('Mass Ion Calculations'!$D$7="Yes", 'Mass Ion Calculations'!$D$15+'AA Exact Masses'!$Q$2-'Mass Ion Calculations'!$C$18-'Mass Ion Calculations'!$C41-'Mass Ion Calculations'!$D$5,'Mass Ion Calculations'!$F$15+'AA Exact Masses'!$Q$2-'Mass Ion Calculations'!$C$18-'Mass Ion Calculations'!$C41-'Mass Ion Calculations'!$D$5)))</f>
        <v/>
      </c>
      <c r="Q40" s="3" t="str">
        <f>IF(OR($B40="",Q$3=""),"",IF('Mass Ion Calculations'!$D$6="Yes",IF('Mass Ion Calculations'!$D$7="Yes",'Mass Ion Calculations'!$D$18+'AA Exact Masses'!$Q$2-'Mass Ion Calculations'!$C$19-'Mass Ion Calculations'!$C41-'Mass Ion Calculations'!$D$5,'Mass Ion Calculations'!$F$18+'AA Exact Masses'!$Q$2-'Mass Ion Calculations'!$C$19-'Mass Ion Calculations'!$C41-'Mass Ion Calculations'!$D$5),IF('Mass Ion Calculations'!$D$7="Yes", 'Mass Ion Calculations'!$D$15+'AA Exact Masses'!$Q$2-'Mass Ion Calculations'!$C$19-'Mass Ion Calculations'!$C41-'Mass Ion Calculations'!$D$5,'Mass Ion Calculations'!$F$15+'AA Exact Masses'!$Q$2-'Mass Ion Calculations'!$C$19-'Mass Ion Calculations'!$C41-'Mass Ion Calculations'!$D$5)))</f>
        <v/>
      </c>
      <c r="R40" s="3" t="str">
        <f>IF(OR($B40="",R$3=""),"",IF('Mass Ion Calculations'!$D$6="Yes",IF('Mass Ion Calculations'!$D$7="Yes",'Mass Ion Calculations'!$D$18+'AA Exact Masses'!$Q$2-'Mass Ion Calculations'!$C$20-'Mass Ion Calculations'!$C41-'Mass Ion Calculations'!$D$5,'Mass Ion Calculations'!$F$18+'AA Exact Masses'!$Q$2-'Mass Ion Calculations'!$C$20-'Mass Ion Calculations'!$C41-'Mass Ion Calculations'!$D$5),IF('Mass Ion Calculations'!$D$7="Yes", 'Mass Ion Calculations'!$D$15+'AA Exact Masses'!$Q$2-'Mass Ion Calculations'!$C$20-'Mass Ion Calculations'!$C41-'Mass Ion Calculations'!$D$5,'Mass Ion Calculations'!$F$15+'AA Exact Masses'!$Q$2-'Mass Ion Calculations'!$C$20-'Mass Ion Calculations'!$C41-'Mass Ion Calculations'!$D$5)))</f>
        <v/>
      </c>
      <c r="S40" s="3" t="str">
        <f>IF(OR($B40="",S$3=""),"",IF('Mass Ion Calculations'!$D$6="Yes",IF('Mass Ion Calculations'!$D$7="Yes",'Mass Ion Calculations'!$D$18+'AA Exact Masses'!$Q$2-'Mass Ion Calculations'!$C$21-'Mass Ion Calculations'!$C41-'Mass Ion Calculations'!$D$5,'Mass Ion Calculations'!$F$18+'AA Exact Masses'!$Q$2-'Mass Ion Calculations'!$C$21-'Mass Ion Calculations'!$C41-'Mass Ion Calculations'!$D$5),IF('Mass Ion Calculations'!$D$7="Yes", 'Mass Ion Calculations'!$D$15+'AA Exact Masses'!$Q$2-'Mass Ion Calculations'!$C$21-'Mass Ion Calculations'!$C41-'Mass Ion Calculations'!$D$5,'Mass Ion Calculations'!$F$15+'AA Exact Masses'!$Q$2-'Mass Ion Calculations'!$C$21-'Mass Ion Calculations'!$C41-'Mass Ion Calculations'!$D$5)))</f>
        <v/>
      </c>
      <c r="T40" s="3" t="str">
        <f>IF(OR($B40="",T$3=""),"",IF('Mass Ion Calculations'!$D$6="Yes",IF('Mass Ion Calculations'!$D$7="Yes",'Mass Ion Calculations'!$D$18+'AA Exact Masses'!$Q$2-'Mass Ion Calculations'!$C$22-'Mass Ion Calculations'!$C41-'Mass Ion Calculations'!$D$5,'Mass Ion Calculations'!$F$18+'AA Exact Masses'!$Q$2-'Mass Ion Calculations'!$C$22-'Mass Ion Calculations'!$C41-'Mass Ion Calculations'!$D$5),IF('Mass Ion Calculations'!$D$7="Yes", 'Mass Ion Calculations'!$D$15+'AA Exact Masses'!$Q$2-'Mass Ion Calculations'!$C$22-'Mass Ion Calculations'!$C41-'Mass Ion Calculations'!$D$5,'Mass Ion Calculations'!$F$15+'AA Exact Masses'!$Q$2-'Mass Ion Calculations'!$C$22-'Mass Ion Calculations'!$C41-'Mass Ion Calculations'!$D$5)))</f>
        <v/>
      </c>
      <c r="U40" s="3" t="str">
        <f>IF(OR($B40="",U$3=""),"",IF('Mass Ion Calculations'!$D$6="Yes",IF('Mass Ion Calculations'!$D$7="Yes",'Mass Ion Calculations'!$D$18+'AA Exact Masses'!$Q$2-'Mass Ion Calculations'!$C$23-'Mass Ion Calculations'!$C41-'Mass Ion Calculations'!$D$5,'Mass Ion Calculations'!$F$18+'AA Exact Masses'!$Q$2-'Mass Ion Calculations'!$C$23-'Mass Ion Calculations'!$C41-'Mass Ion Calculations'!$D$5),IF('Mass Ion Calculations'!$D$7="Yes", 'Mass Ion Calculations'!$D$15+'AA Exact Masses'!$Q$2-'Mass Ion Calculations'!$C$23-'Mass Ion Calculations'!$C41-'Mass Ion Calculations'!$D$5,'Mass Ion Calculations'!$F$15+'AA Exact Masses'!$Q$2-'Mass Ion Calculations'!$C$23-'Mass Ion Calculations'!$C41-'Mass Ion Calculations'!$D$5)))</f>
        <v/>
      </c>
      <c r="V40" s="3" t="str">
        <f>IF(OR($B40="",V$3=""),"",IF('Mass Ion Calculations'!$D$6="Yes",IF('Mass Ion Calculations'!$D$7="Yes",'Mass Ion Calculations'!$D$18+'AA Exact Masses'!$Q$2-'Mass Ion Calculations'!$C$24-'Mass Ion Calculations'!$C41-'Mass Ion Calculations'!$D$5,'Mass Ion Calculations'!$F$18+'AA Exact Masses'!$Q$2-'Mass Ion Calculations'!$C$24-'Mass Ion Calculations'!$C41-'Mass Ion Calculations'!$D$5),IF('Mass Ion Calculations'!$D$7="Yes", 'Mass Ion Calculations'!$D$15+'AA Exact Masses'!$Q$2-'Mass Ion Calculations'!$C$24-'Mass Ion Calculations'!$C41-'Mass Ion Calculations'!$D$5,'Mass Ion Calculations'!$F$15+'AA Exact Masses'!$Q$2-'Mass Ion Calculations'!$C$24-'Mass Ion Calculations'!$C41-'Mass Ion Calculations'!$D$5)))</f>
        <v/>
      </c>
      <c r="W40" s="3" t="str">
        <f>IF(OR($B40="",W$3=""),"",IF('Mass Ion Calculations'!$D$6="Yes",IF('Mass Ion Calculations'!$D$7="Yes",'Mass Ion Calculations'!$D$18+'AA Exact Masses'!$Q$2-'Mass Ion Calculations'!$C$25-'Mass Ion Calculations'!$C41-'Mass Ion Calculations'!$D$5,'Mass Ion Calculations'!$F$18+'AA Exact Masses'!$Q$2-'Mass Ion Calculations'!$C$25-'Mass Ion Calculations'!$C41-'Mass Ion Calculations'!$D$5),IF('Mass Ion Calculations'!$D$7="Yes", 'Mass Ion Calculations'!$D$15+'AA Exact Masses'!$Q$2-'Mass Ion Calculations'!$C$25-'Mass Ion Calculations'!$C41-'Mass Ion Calculations'!$D$5,'Mass Ion Calculations'!$F$15+'AA Exact Masses'!$Q$2-'Mass Ion Calculations'!$C$25-'Mass Ion Calculations'!$C41-'Mass Ion Calculations'!$D$5)))</f>
        <v/>
      </c>
      <c r="X40" s="3" t="str">
        <f>IF(OR($B40="",X$3=""),"",IF('Mass Ion Calculations'!$D$6="Yes",IF('Mass Ion Calculations'!$D$7="Yes",'Mass Ion Calculations'!$D$18+'AA Exact Masses'!$Q$2-'Mass Ion Calculations'!$C$26-'Mass Ion Calculations'!$C41-'Mass Ion Calculations'!$D$5,'Mass Ion Calculations'!$F$18+'AA Exact Masses'!$Q$2-'Mass Ion Calculations'!$C$26-'Mass Ion Calculations'!$C41-'Mass Ion Calculations'!$D$5),IF('Mass Ion Calculations'!$D$7="Yes", 'Mass Ion Calculations'!$D$15+'AA Exact Masses'!$Q$2-'Mass Ion Calculations'!$C$26-'Mass Ion Calculations'!$C41-'Mass Ion Calculations'!$D$5,'Mass Ion Calculations'!$F$15+'AA Exact Masses'!$Q$2-'Mass Ion Calculations'!$C$26-'Mass Ion Calculations'!$C41-'Mass Ion Calculations'!$D$5)))</f>
        <v/>
      </c>
      <c r="Y40" s="3" t="str">
        <f>IF(OR($B40="",Y$3=""),"",IF('Mass Ion Calculations'!$D$6="Yes",('Mass Ion Calculations'!$D$15+'AA Exact Masses'!$Q$2-'Mass Ion Calculations'!$C$7-'Mass Ion Calculations'!$C41-'Mass Ion Calculations'!$D$5-18.01),('Mass Ion Calculations'!$D$15+'AA Exact Masses'!$Q$2-'Mass Ion Calculations'!$C$7-'Mass Ion Calculations'!$C41-'Mass Ion Calculations'!$D$5)))</f>
        <v/>
      </c>
      <c r="Z40" s="3" t="str">
        <f>IF(OR($B40="",Z$3=""),"",IF('Mass Ion Calculations'!$D$6="Yes",('Mass Ion Calculations'!$D$15+'AA Exact Masses'!$Q$2-'Mass Ion Calculations'!$C$7-'Mass Ion Calculations'!$C41-'Mass Ion Calculations'!$D$5-18.01),('Mass Ion Calculations'!$D$15+'AA Exact Masses'!$Q$2-'Mass Ion Calculations'!$C$7-'Mass Ion Calculations'!$C41-'Mass Ion Calculations'!$D$5)))</f>
        <v/>
      </c>
    </row>
    <row r="41" spans="3:26" x14ac:dyDescent="0.25">
      <c r="C41" s="3" t="str">
        <f>IF(OR($B41="",C$3=""),"",IF('Mass Ion Calculations'!$D$6="Yes",IF('Mass Ion Calculations'!$D$7="Yes",'Mass Ion Calculations'!$D$18+'AA Exact Masses'!$Q$2-'Mass Ion Calculations'!$C$5-'Mass Ion Calculations'!$C42-'Mass Ion Calculations'!$D$5,'Mass Ion Calculations'!$F$18+'AA Exact Masses'!$Q$2-'Mass Ion Calculations'!C42-'Mass Ion Calculations'!C42-'Mass Ion Calculations'!$D$5),IF('Mass Ion Calculations'!$D$7="Yes", 'Mass Ion Calculations'!$D$15+'AA Exact Masses'!$Q$2-'Mass Ion Calculations'!$C$5-'Mass Ion Calculations'!$C42-'Mass Ion Calculations'!$D$5,'Mass Ion Calculations'!$F$15+'AA Exact Masses'!$Q$2-'Mass Ion Calculations'!C42-'Mass Ion Calculations'!C42-'Mass Ion Calculations'!$D$5)))</f>
        <v/>
      </c>
      <c r="D41" s="3" t="str">
        <f>IF(OR($B41="",D$3=""),"",IF('Mass Ion Calculations'!$D$6="Yes",('Mass Ion Calculations'!$D$15+'AA Exact Masses'!$Q$2-'Mass Ion Calculations'!$C$5-'Mass Ion Calculations'!$C76-'Mass Ion Calculations'!$D$5-18.01),('Mass Ion Calculations'!$D$15+'AA Exact Masses'!$Q$2-'Mass Ion Calculations'!$C$5-'Mass Ion Calculations'!$C76-'Mass Ion Calculations'!$D$5)))</f>
        <v/>
      </c>
    </row>
    <row r="42" spans="3:26" x14ac:dyDescent="0.25">
      <c r="C42" s="3" t="str">
        <f>IF(OR($B42="",C$3=""),"",IF('Mass Ion Calculations'!$D$6="Yes",IF('Mass Ion Calculations'!$D$7="Yes",'Mass Ion Calculations'!$D$18+'AA Exact Masses'!$Q$2-'Mass Ion Calculations'!$C$5-'Mass Ion Calculations'!$C43-'Mass Ion Calculations'!$D$5,'Mass Ion Calculations'!$F$18+'AA Exact Masses'!$Q$2-'Mass Ion Calculations'!C43-'Mass Ion Calculations'!C43-'Mass Ion Calculations'!$D$5),IF('Mass Ion Calculations'!$D$7="Yes", 'Mass Ion Calculations'!$D$15+'AA Exact Masses'!$Q$2-'Mass Ion Calculations'!$C$5-'Mass Ion Calculations'!$C43-'Mass Ion Calculations'!$D$5,'Mass Ion Calculations'!$F$15+'AA Exact Masses'!$Q$2-'Mass Ion Calculations'!C43-'Mass Ion Calculations'!C43-'Mass Ion Calculations'!$D$5)))</f>
        <v/>
      </c>
      <c r="D42" s="3" t="str">
        <f>IF(OR($B42="",D$3=""),"",IF('Mass Ion Calculations'!$D$6="Yes",('Mass Ion Calculations'!$D$15+'AA Exact Masses'!$Q$2-'Mass Ion Calculations'!$C$5-'Mass Ion Calculations'!$C77-'Mass Ion Calculations'!$D$5-18.01),('Mass Ion Calculations'!$D$15+'AA Exact Masses'!$Q$2-'Mass Ion Calculations'!$C$5-'Mass Ion Calculations'!$C77-'Mass Ion Calculations'!$D$5)))</f>
        <v/>
      </c>
    </row>
  </sheetData>
  <conditionalFormatting sqref="F31:F37 G31:I40 J31:J38 K31:Z40 E31:E40 C31:D42 C4:Z30">
    <cfRule type="cellIs" dxfId="7" priority="1" operator="between">
      <formula>2</formula>
      <formula>-2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Z40"/>
  <sheetViews>
    <sheetView workbookViewId="0">
      <selection activeCell="U15" sqref="U15"/>
    </sheetView>
  </sheetViews>
  <sheetFormatPr defaultRowHeight="15" x14ac:dyDescent="0.25"/>
  <sheetData>
    <row r="1" spans="2:26" x14ac:dyDescent="0.25">
      <c r="E1" t="s">
        <v>77</v>
      </c>
      <c r="G1" s="24" t="str">
        <f>IF('Mass Ion Calculations'!$D$6="Yes","Cyclic","Linear")</f>
        <v>Cyclic</v>
      </c>
      <c r="H1" s="24" t="str">
        <f>IF('Mass Ion Calculations'!$D$7="Yes","Protected","Deprotected")</f>
        <v>Deprotected</v>
      </c>
    </row>
    <row r="2" spans="2:26" x14ac:dyDescent="0.25">
      <c r="D2" t="s">
        <v>52</v>
      </c>
    </row>
    <row r="3" spans="2:26" x14ac:dyDescent="0.25">
      <c r="B3" s="4" t="s">
        <v>43</v>
      </c>
      <c r="C3" s="4" t="str">
        <f>IF('Mass Ion Calculations'!$B5="","",'Mass Ion Calculations'!$B5)</f>
        <v>Orn(Boc)</v>
      </c>
      <c r="D3" s="4" t="str">
        <f>IF('Mass Ion Calculations'!$B6="","",'Mass Ion Calculations'!$B6)</f>
        <v>Ala</v>
      </c>
      <c r="E3" s="4" t="str">
        <f>IF('Mass Ion Calculations'!$B7="","",'Mass Ion Calculations'!$B7)</f>
        <v>Ile</v>
      </c>
      <c r="F3" s="4" t="str">
        <f>IF('Mass Ion Calculations'!$B8="","",'Mass Ion Calculations'!$B8)</f>
        <v>Ile</v>
      </c>
      <c r="G3" s="4" t="str">
        <f>IF('Mass Ion Calculations'!$B9="","",'Mass Ion Calculations'!$B9)</f>
        <v>N-Meth-Gly</v>
      </c>
      <c r="H3" s="4" t="str">
        <f>IF('Mass Ion Calculations'!$B10="","",'Mass Ion Calculations'!$B10)</f>
        <v>Leu</v>
      </c>
      <c r="I3" s="4" t="str">
        <f>IF('Mass Ion Calculations'!$B11="","",'Mass Ion Calculations'!$B11)</f>
        <v>Orn(Boc)</v>
      </c>
      <c r="J3" s="4" t="str">
        <f>IF('Mass Ion Calculations'!$B12="","",'Mass Ion Calculations'!$B12)</f>
        <v>Val</v>
      </c>
      <c r="K3" s="4" t="str">
        <f>IF('Mass Ion Calculations'!$B13="","",'Mass Ion Calculations'!$B13)</f>
        <v>Orn(Boc)</v>
      </c>
      <c r="L3" s="4" t="str">
        <f>IF('Mass Ion Calculations'!$B14="","",'Mass Ion Calculations'!$B14)</f>
        <v>Glu(OtBu)</v>
      </c>
      <c r="M3" s="4" t="str">
        <f>IF('Mass Ion Calculations'!$B15="","",'Mass Ion Calculations'!$B15)</f>
        <v>Asp(tBu)</v>
      </c>
      <c r="N3" s="4" t="str">
        <f>IF('Mass Ion Calculations'!$B16="","",'Mass Ion Calculations'!$B16)</f>
        <v>Ala</v>
      </c>
      <c r="O3" s="4" t="str">
        <f>IF('Mass Ion Calculations'!$B17="","",'Mass Ion Calculations'!$B17)</f>
        <v>Phe</v>
      </c>
      <c r="P3" s="4" t="str">
        <f>IF('Mass Ion Calculations'!$B18="","",'Mass Ion Calculations'!$B18)</f>
        <v>Phe-I</v>
      </c>
      <c r="Q3" s="4" t="str">
        <f>IF('Mass Ion Calculations'!$B19="","",'Mass Ion Calculations'!$B19)</f>
        <v>Val</v>
      </c>
      <c r="R3" s="4" t="str">
        <f>IF('Mass Ion Calculations'!$B20="","",'Mass Ion Calculations'!$B20)</f>
        <v>Leu</v>
      </c>
      <c r="S3" s="4" t="str">
        <f>IF('Mass Ion Calculations'!$B21="","",'Mass Ion Calculations'!$B21)</f>
        <v/>
      </c>
      <c r="T3" s="4" t="str">
        <f>IF('Mass Ion Calculations'!$B22="","",'Mass Ion Calculations'!$B22)</f>
        <v>HOAt</v>
      </c>
      <c r="U3" s="4" t="str">
        <f>IF('Mass Ion Calculations'!$B23="","",'Mass Ion Calculations'!$B5)</f>
        <v>Orn(Boc)</v>
      </c>
      <c r="V3" s="4" t="str">
        <f>IF('Mass Ion Calculations'!$B24="","",'Mass Ion Calculations'!$B24)</f>
        <v/>
      </c>
      <c r="W3" s="4" t="str">
        <f>IF('Mass Ion Calculations'!$B25="","",'Mass Ion Calculations'!$B25)</f>
        <v/>
      </c>
      <c r="X3" s="4" t="str">
        <f>IF('Mass Ion Calculations'!$B26="","",'Mass Ion Calculations'!$B26)</f>
        <v/>
      </c>
      <c r="Y3" s="4" t="str">
        <f>IF('Mass Ion Calculations'!$B27="","",'Mass Ion Calculations'!$B27)</f>
        <v/>
      </c>
    </row>
    <row r="4" spans="2:26" x14ac:dyDescent="0.25">
      <c r="B4" s="4" t="str">
        <f>IF('Mass Ion Calculations'!B5="","",'Mass Ion Calculations'!B5)</f>
        <v>Orn(Boc)</v>
      </c>
      <c r="C4" s="3">
        <f>IF(OR($B4="",C$3=""),"",IF('Mass Ion Calculations'!$D$6="Yes",IF('Mass Ion Calculations'!$D$7="Yes",'Mass Ion Calculations'!$D$18+'AA Exact Masses'!$Q$3-'Mass Ion Calculations'!$C$5-'Mass Ion Calculations'!$C5-'Mass Ion Calculations'!$D$5,'Mass Ion Calculations'!$F$18+'AA Exact Masses'!$Q$3-'Mass Ion Calculations'!$E$5-'Mass Ion Calculations'!$E5-'Mass Ion Calculations'!$D$5),IF('Mass Ion Calculations'!$D$7="Yes", 'Mass Ion Calculations'!$D$15+'AA Exact Masses'!$Q$3-'Mass Ion Calculations'!$C$5-'Mass Ion Calculations'!$C5-'Mass Ion Calculations'!$D$5,'Mass Ion Calculations'!$F$15+'AA Exact Masses'!$Q$3-'Mass Ion Calculations'!$E$5-'Mass Ion Calculations'!$E5-'Mass Ion Calculations'!$D$5)))</f>
        <v>417.75650999999993</v>
      </c>
      <c r="D4" s="3">
        <f>IF(OR($B4="",D$3=""),"",IF('Mass Ion Calculations'!$D$6="Yes",IF('Mass Ion Calculations'!$D$7="Yes",'Mass Ion Calculations'!$D$18+'AA Exact Masses'!$Q$3-'Mass Ion Calculations'!$C$6-'Mass Ion Calculations'!$C5-'Mass Ion Calculations'!$D$5,'Mass Ion Calculations'!$F$18+'AA Exact Masses'!$Q$3-'Mass Ion Calculations'!$E$6-'Mass Ion Calculations'!$E5-'Mass Ion Calculations'!$D$5),IF('Mass Ion Calculations'!$D$7="Yes", 'Mass Ion Calculations'!$D$15+'AA Exact Masses'!$Q$3-'Mass Ion Calculations'!$C$6-'Mass Ion Calculations'!$C5-'Mass Ion Calculations'!$D$5,'Mass Ion Calculations'!$F$15+'AA Exact Masses'!$Q$3-'Mass Ion Calculations'!$E$6-'Mass Ion Calculations'!$E5-'Mass Ion Calculations'!$D$5)))</f>
        <v>460.79872</v>
      </c>
      <c r="E4" s="3">
        <f>IF(OR($B4="",E$3=""),"",IF('Mass Ion Calculations'!$D$6="Yes",IF('Mass Ion Calculations'!$D$7="Yes",'Mass Ion Calculations'!$D$18+'AA Exact Masses'!$Q$3-'Mass Ion Calculations'!$C$7-'Mass Ion Calculations'!$C5-'Mass Ion Calculations'!$D$5,'Mass Ion Calculations'!$F$18+'AA Exact Masses'!$Q$3-'Mass Ion Calculations'!$E$7-'Mass Ion Calculations'!$E5-'Mass Ion Calculations'!$D$5),IF('Mass Ion Calculations'!$D$7="Yes", 'Mass Ion Calculations'!$D$15+'AA Exact Masses'!$Q$3-'Mass Ion Calculations'!$C$7-'Mass Ion Calculations'!$C5-'Mass Ion Calculations'!$D$5,'Mass Ion Calculations'!$F$15+'AA Exact Masses'!$Q$3-'Mass Ion Calculations'!$E$7-'Mass Ion Calculations'!$E5-'Mass Ion Calculations'!$D$5)))</f>
        <v>418.75177000000008</v>
      </c>
      <c r="F4" s="3">
        <f>IF(OR($B4="",F$3=""),"",IF('Mass Ion Calculations'!$D$6="Yes",IF('Mass Ion Calculations'!$D$7="Yes",'Mass Ion Calculations'!$D$18+'AA Exact Masses'!$Q$3-'Mass Ion Calculations'!$C$8-'Mass Ion Calculations'!$C5-'Mass Ion Calculations'!$D$5,'Mass Ion Calculations'!$F$18+'AA Exact Masses'!$Q$3-'Mass Ion Calculations'!$E$8-'Mass Ion Calculations'!$E5-'Mass Ion Calculations'!$D$5),IF('Mass Ion Calculations'!$D$7="Yes", 'Mass Ion Calculations'!$D$15+'AA Exact Masses'!$Q$3-'Mass Ion Calculations'!$C$8-'Mass Ion Calculations'!$C5-'Mass Ion Calculations'!$D$5,'Mass Ion Calculations'!$F$15+'AA Exact Masses'!$Q$3-'Mass Ion Calculations'!$E$8-'Mass Ion Calculations'!$E5-'Mass Ion Calculations'!$D$5)))</f>
        <v>418.75177000000008</v>
      </c>
      <c r="G4" s="3">
        <f>IF(OR($B4="",G$3=""),"",IF('Mass Ion Calculations'!$D$6="Yes",IF('Mass Ion Calculations'!$D$7="Yes",'Mass Ion Calculations'!$D$18+'AA Exact Masses'!$Q$3-'Mass Ion Calculations'!$C$9-'Mass Ion Calculations'!$C5-'Mass Ion Calculations'!$D$5,'Mass Ion Calculations'!$F$18+'AA Exact Masses'!$Q$3-'Mass Ion Calculations'!$E$9-'Mass Ion Calculations'!$E5-'Mass Ion Calculations'!$D$5),IF('Mass Ion Calculations'!$D$7="Yes", 'Mass Ion Calculations'!$D$15+'AA Exact Masses'!$Q$3-'Mass Ion Calculations'!$C$9-'Mass Ion Calculations'!$C5-'Mass Ion Calculations'!$D$5,'Mass Ion Calculations'!$F$15+'AA Exact Masses'!$Q$3-'Mass Ion Calculations'!$E$9-'Mass Ion Calculations'!$E5-'Mass Ion Calculations'!$D$5)))</f>
        <v>460.79872</v>
      </c>
      <c r="H4" s="3">
        <f>IF(OR($B4="",H$3=""),"",IF('Mass Ion Calculations'!$D$6="Yes",IF('Mass Ion Calculations'!$D$7="Yes",'Mass Ion Calculations'!$D$18+'AA Exact Masses'!$Q$3-'Mass Ion Calculations'!$C$10-'Mass Ion Calculations'!$C5-'Mass Ion Calculations'!$D$5,'Mass Ion Calculations'!$F$18+'AA Exact Masses'!$Q$3-'Mass Ion Calculations'!$E$10-'Mass Ion Calculations'!$E5-'Mass Ion Calculations'!$D$5),IF('Mass Ion Calculations'!$D$7="Yes", 'Mass Ion Calculations'!$D$15+'AA Exact Masses'!$Q$3-'Mass Ion Calculations'!$C$10-'Mass Ion Calculations'!$C5-'Mass Ion Calculations'!$D$5,'Mass Ion Calculations'!$F$15+'AA Exact Masses'!$Q$3-'Mass Ion Calculations'!$E$10-'Mass Ion Calculations'!$E5-'Mass Ion Calculations'!$D$5)))</f>
        <v>418.75177000000008</v>
      </c>
      <c r="I4" s="3">
        <f>IF(OR($B4="",I$3=""),"",IF('Mass Ion Calculations'!$D$6="Yes",IF('Mass Ion Calculations'!$D$7="Yes",'Mass Ion Calculations'!$D$18+'AA Exact Masses'!$Q$3-'Mass Ion Calculations'!$C$11-'Mass Ion Calculations'!$C5-'Mass Ion Calculations'!$D$5,'Mass Ion Calculations'!$F$18+'AA Exact Masses'!$Q$3-'Mass Ion Calculations'!$E$11-'Mass Ion Calculations'!$E5-'Mass Ion Calculations'!$D$5),IF('Mass Ion Calculations'!$D$7="Yes", 'Mass Ion Calculations'!$D$15+'AA Exact Masses'!$Q$3-'Mass Ion Calculations'!$C$11-'Mass Ion Calculations'!$C5-'Mass Ion Calculations'!$D$5,'Mass Ion Calculations'!$F$15+'AA Exact Masses'!$Q$3-'Mass Ion Calculations'!$E$11-'Mass Ion Calculations'!$E5-'Mass Ion Calculations'!$D$5)))</f>
        <v>417.75650999999993</v>
      </c>
      <c r="J4" s="3">
        <f>IF(OR($B4="",J$3=""),"",IF('Mass Ion Calculations'!$D$6="Yes",IF('Mass Ion Calculations'!$D$7="Yes",'Mass Ion Calculations'!$D$18+'AA Exact Masses'!$Q$3-'Mass Ion Calculations'!$C$12-'Mass Ion Calculations'!$C5-'Mass Ion Calculations'!$D$5,'Mass Ion Calculations'!$F$18+'AA Exact Masses'!$Q$3-'Mass Ion Calculations'!$E$12-'Mass Ion Calculations'!$E5-'Mass Ion Calculations'!$D$5),IF('Mass Ion Calculations'!$D$7="Yes", 'Mass Ion Calculations'!$D$15+'AA Exact Masses'!$Q$3-'Mass Ion Calculations'!$C$12-'Mass Ion Calculations'!$C5-'Mass Ion Calculations'!$D$5,'Mass Ion Calculations'!$F$15+'AA Exact Masses'!$Q$3-'Mass Ion Calculations'!$E$12-'Mass Ion Calculations'!$E5-'Mass Ion Calculations'!$D$5)))</f>
        <v>432.7674199999999</v>
      </c>
      <c r="K4" s="3">
        <f>IF(OR($B4="",K$3=""),"",IF('Mass Ion Calculations'!$D$6="Yes",IF('Mass Ion Calculations'!$D$7="Yes",'Mass Ion Calculations'!$D$18+'AA Exact Masses'!$Q$3-'Mass Ion Calculations'!$C$13-'Mass Ion Calculations'!$C5-'Mass Ion Calculations'!$D$5,'Mass Ion Calculations'!$F$18+'AA Exact Masses'!$Q$3-'Mass Ion Calculations'!$E$14-'Mass Ion Calculations'!$E5-'Mass Ion Calculations'!$D$5),IF('Mass Ion Calculations'!$D$7="Yes", 'Mass Ion Calculations'!$D$15+'AA Exact Masses'!$Q$3-'Mass Ion Calculations'!$C$13-'Mass Ion Calculations'!$C5-'Mass Ion Calculations'!$D$5,'Mass Ion Calculations'!$F$15+'AA Exact Masses'!$Q$3-'Mass Ion Calculations'!$E$14-'Mass Ion Calculations'!$E5-'Mass Ion Calculations'!$D$5)))</f>
        <v>402.79323999999997</v>
      </c>
      <c r="L4" s="3">
        <f>IF(OR($B4="",L$3=""),"",IF('Mass Ion Calculations'!$D$6="Yes",IF('Mass Ion Calculations'!$D$7="Yes",'Mass Ion Calculations'!$D$18+'AA Exact Masses'!$Q$3-'Mass Ion Calculations'!$C$14-'Mass Ion Calculations'!$C5-'Mass Ion Calculations'!$D$5,'Mass Ion Calculations'!$F$18+'AA Exact Masses'!$Q$3-'Mass Ion Calculations'!$E$15-'Mass Ion Calculations'!$E5-'Mass Ion Calculations'!$D$5),IF('Mass Ion Calculations'!$D$7="Yes", 'Mass Ion Calculations'!$D$15+'AA Exact Masses'!$Q$3-'Mass Ion Calculations'!$C$14-'Mass Ion Calculations'!$C5-'Mass Ion Calculations'!$D$5,'Mass Ion Calculations'!$F$15+'AA Exact Masses'!$Q$3-'Mass Ion Calculations'!$E$15-'Mass Ion Calculations'!$E5-'Mass Ion Calculations'!$D$5)))</f>
        <v>416.80889000000002</v>
      </c>
      <c r="M4" s="3">
        <f>IF(OR($B4="",M$3=""),"",IF('Mass Ion Calculations'!$D$6="Yes",IF('Mass Ion Calculations'!$D$7="Yes",'Mass Ion Calculations'!$D$18+'AA Exact Masses'!$Q$3-'Mass Ion Calculations'!$C$15-'Mass Ion Calculations'!$C5-'Mass Ion Calculations'!$D$5,'Mass Ion Calculations'!$F$18+'AA Exact Masses'!$Q$3-'Mass Ion Calculations'!$E$16-'Mass Ion Calculations'!$E5-'Mass Ion Calculations'!$D$5),IF('Mass Ion Calculations'!$D$7="Yes", 'Mass Ion Calculations'!$D$15+'AA Exact Masses'!$Q$3-'Mass Ion Calculations'!$C$15-'Mass Ion Calculations'!$C5-'Mass Ion Calculations'!$D$5,'Mass Ion Calculations'!$F$15+'AA Exact Masses'!$Q$3-'Mass Ion Calculations'!$E$16-'Mass Ion Calculations'!$E5-'Mass Ion Calculations'!$D$5)))</f>
        <v>460.79872</v>
      </c>
      <c r="N4" s="3">
        <f>IF(OR($B4="",N$3=""),"",IF('Mass Ion Calculations'!$D$6="Yes",IF('Mass Ion Calculations'!$D$7="Yes",'Mass Ion Calculations'!$D$18+'AA Exact Masses'!$Q$3-'Mass Ion Calculations'!$C$16-'Mass Ion Calculations'!$C5-'Mass Ion Calculations'!$D$5,'Mass Ion Calculations'!$F$18+'AA Exact Masses'!$Q$3-'Mass Ion Calculations'!$E$17-'Mass Ion Calculations'!$E5-'Mass Ion Calculations'!$D$5),IF('Mass Ion Calculations'!$D$7="Yes", 'Mass Ion Calculations'!$D$15+'AA Exact Masses'!$Q$3-'Mass Ion Calculations'!$C$16-'Mass Ion Calculations'!$C5-'Mass Ion Calculations'!$D$5,'Mass Ion Calculations'!$F$15+'AA Exact Masses'!$Q$3-'Mass Ion Calculations'!$E$17-'Mass Ion Calculations'!$E5-'Mass Ion Calculations'!$D$5)))</f>
        <v>384.7674199999999</v>
      </c>
      <c r="O4" s="3">
        <f>IF(OR($B4="",O$3=""),"",IF('Mass Ion Calculations'!$D$6="Yes",IF('Mass Ion Calculations'!$D$7="Yes",'Mass Ion Calculations'!$D$18+'AA Exact Masses'!$Q$3-'Mass Ion Calculations'!$C$17-'Mass Ion Calculations'!$C5-'Mass Ion Calculations'!$D$5,'Mass Ion Calculations'!$F$18+'AA Exact Masses'!$Q$3-'Mass Ion Calculations'!$E$18-'Mass Ion Calculations'!$E5-'Mass Ion Calculations'!$D$5),IF('Mass Ion Calculations'!$D$7="Yes", 'Mass Ion Calculations'!$D$15+'AA Exact Masses'!$Q$3-'Mass Ion Calculations'!$C$17-'Mass Ion Calculations'!$C5-'Mass Ion Calculations'!$D$5,'Mass Ion Calculations'!$F$15+'AA Exact Masses'!$Q$3-'Mass Ion Calculations'!$E$18-'Mass Ion Calculations'!$E5-'Mass Ion Calculations'!$D$5)))</f>
        <v>258.87076999999999</v>
      </c>
      <c r="P4" s="3">
        <f>IF(OR($B4="",P$3=""),"",IF('Mass Ion Calculations'!$D$6="Yes",IF('Mass Ion Calculations'!$D$7="Yes",'Mass Ion Calculations'!$D$18+'AA Exact Masses'!$Q$3-'Mass Ion Calculations'!$C$19-'Mass Ion Calculations'!$C5-'Mass Ion Calculations'!$D$5,'Mass Ion Calculations'!$F$18+'AA Exact Masses'!$Q$3-'Mass Ion Calculations'!$E$19-'Mass Ion Calculations'!$E5-'Mass Ion Calculations'!$D$5),IF('Mass Ion Calculations'!$D$7="Yes", 'Mass Ion Calculations'!$D$15+'AA Exact Masses'!$Q$3-'Mass Ion Calculations'!$C$19-'Mass Ion Calculations'!$C5-'Mass Ion Calculations'!$D$5,'Mass Ion Calculations'!$F$15+'AA Exact Masses'!$Q$3-'Mass Ion Calculations'!$E$19-'Mass Ion Calculations'!$E5-'Mass Ion Calculations'!$D$5)))</f>
        <v>432.7674199999999</v>
      </c>
      <c r="Q4" s="3">
        <f>IF(OR($B4="",Q$3=""),"",IF('Mass Ion Calculations'!$D$6="Yes",IF('Mass Ion Calculations'!$D$7="Yes",'Mass Ion Calculations'!$D$18+'AA Exact Masses'!$Q$3-'Mass Ion Calculations'!$C$20-'Mass Ion Calculations'!$C5-'Mass Ion Calculations'!$D$5,'Mass Ion Calculations'!$F$18+'AA Exact Masses'!$Q$3-'Mass Ion Calculations'!$E$20-'Mass Ion Calculations'!$E5-'Mass Ion Calculations'!$D$5),IF('Mass Ion Calculations'!$D$7="Yes", 'Mass Ion Calculations'!$D$15+'AA Exact Masses'!$Q$3-'Mass Ion Calculations'!$C$20-'Mass Ion Calculations'!$C5-'Mass Ion Calculations'!$D$5,'Mass Ion Calculations'!$F$15+'AA Exact Masses'!$Q$3-'Mass Ion Calculations'!$E$20-'Mass Ion Calculations'!$E5-'Mass Ion Calculations'!$D$5)))</f>
        <v>418.75177000000008</v>
      </c>
      <c r="R4" s="3" t="e">
        <f>IF(OR($B4="",R$3=""),"",IF('Mass Ion Calculations'!$D$6="Yes",IF('Mass Ion Calculations'!$D$7="Yes",'Mass Ion Calculations'!$D$18+'AA Exact Masses'!$Q$3-'Mass Ion Calculations'!$C$21-'Mass Ion Calculations'!$C5-'Mass Ion Calculations'!$D$5,'Mass Ion Calculations'!$F$18+'AA Exact Masses'!$Q$3-'Mass Ion Calculations'!$E$21-'Mass Ion Calculations'!$E5-'Mass Ion Calculations'!$D$5),IF('Mass Ion Calculations'!$D$7="Yes", 'Mass Ion Calculations'!$D$15+'AA Exact Masses'!$Q$3-'Mass Ion Calculations'!$C$21-'Mass Ion Calculations'!$C5-'Mass Ion Calculations'!$D$5,'Mass Ion Calculations'!$F$15+'AA Exact Masses'!$Q$3-'Mass Ion Calculations'!$E$21-'Mass Ion Calculations'!$E5-'Mass Ion Calculations'!$D$5)))</f>
        <v>#VALUE!</v>
      </c>
      <c r="S4" s="3" t="str">
        <f>IF(OR($B4="",S$3=""),"",IF('Mass Ion Calculations'!$D$6="Yes",IF('Mass Ion Calculations'!$D$7="Yes",'Mass Ion Calculations'!$D$18+'AA Exact Masses'!$Q$3-'Mass Ion Calculations'!$C$21-'Mass Ion Calculations'!$C5-'Mass Ion Calculations'!$D$5,'Mass Ion Calculations'!$F$18+'AA Exact Masses'!$Q$3-'Mass Ion Calculations'!$E$21-'Mass Ion Calculations'!$E5-'Mass Ion Calculations'!$D$5),IF('Mass Ion Calculations'!$D$7="Yes", 'Mass Ion Calculations'!$D$15+'AA Exact Masses'!$Q$3-'Mass Ion Calculations'!$C$21-'Mass Ion Calculations'!$C5-'Mass Ion Calculations'!$D$5,'Mass Ion Calculations'!$F$15+'AA Exact Masses'!$Q$3-'Mass Ion Calculations'!$E$21-'Mass Ion Calculations'!$E5-'Mass Ion Calculations'!$D$5)))</f>
        <v/>
      </c>
      <c r="T4" s="3" t="e">
        <f>IF(OR($B4="",T$3=""),"",IF('Mass Ion Calculations'!$D$6="Yes",IF('Mass Ion Calculations'!$D$7="Yes",'Mass Ion Calculations'!$D$18+'AA Exact Masses'!$Q$3-'Mass Ion Calculations'!$C$22-'Mass Ion Calculations'!$C5-'Mass Ion Calculations'!$D$5,'Mass Ion Calculations'!$F$18+'AA Exact Masses'!$Q$3-'Mass Ion Calculations'!$E$22-'Mass Ion Calculations'!$E5-'Mass Ion Calculations'!$D$5),IF('Mass Ion Calculations'!$D$7="Yes", 'Mass Ion Calculations'!$D$15+'AA Exact Masses'!$Q$3-'Mass Ion Calculations'!$C$22-'Mass Ion Calculations'!$C5-'Mass Ion Calculations'!$D$5,'Mass Ion Calculations'!$F$15+'AA Exact Masses'!$Q$3-'Mass Ion Calculations'!$E$22-'Mass Ion Calculations'!$E5-'Mass Ion Calculations'!$D$5)))</f>
        <v>#VALUE!</v>
      </c>
      <c r="U4" s="3" t="e">
        <f>IF(OR($B4="",U$3=""),"",IF('Mass Ion Calculations'!$D$6="Yes",IF('Mass Ion Calculations'!$D$7="Yes",'Mass Ion Calculations'!$D$18+'AA Exact Masses'!$Q$3-'Mass Ion Calculations'!$C$23-'Mass Ion Calculations'!$C5-'Mass Ion Calculations'!$D$5,'Mass Ion Calculations'!$F$18+'AA Exact Masses'!$Q$3-'Mass Ion Calculations'!$E$23-'Mass Ion Calculations'!$E5-'Mass Ion Calculations'!$D$5),IF('Mass Ion Calculations'!$D$7="Yes", 'Mass Ion Calculations'!$D$15+'AA Exact Masses'!$Q$3-'Mass Ion Calculations'!$C$23-'Mass Ion Calculations'!$C5-'Mass Ion Calculations'!$D$5,'Mass Ion Calculations'!$F$15+'AA Exact Masses'!$Q$3-'Mass Ion Calculations'!$E$23-'Mass Ion Calculations'!$E5-'Mass Ion Calculations'!$D$5)))</f>
        <v>#VALUE!</v>
      </c>
      <c r="V4" s="3" t="str">
        <f>IF(OR($B4="",V$3=""),"",IF('Mass Ion Calculations'!$D$6="Yes",IF('Mass Ion Calculations'!$D$7="Yes",'Mass Ion Calculations'!$D$18+'AA Exact Masses'!$Q$3-'Mass Ion Calculations'!$C$24-'Mass Ion Calculations'!$C5-'Mass Ion Calculations'!$D$5,'Mass Ion Calculations'!$F$18+'AA Exact Masses'!$Q$3-'Mass Ion Calculations'!$E$24-'Mass Ion Calculations'!$E5-'Mass Ion Calculations'!$D$5),IF('Mass Ion Calculations'!$D$7="Yes", 'Mass Ion Calculations'!$D$15+'AA Exact Masses'!$Q$3-'Mass Ion Calculations'!$C$24-'Mass Ion Calculations'!$C5-'Mass Ion Calculations'!$D$5,'Mass Ion Calculations'!$F$15+'AA Exact Masses'!$Q$3-'Mass Ion Calculations'!$E$24-'Mass Ion Calculations'!$E5-'Mass Ion Calculations'!$D$5)))</f>
        <v/>
      </c>
      <c r="W4" s="3" t="str">
        <f>IF(OR($B4="",W$3=""),"",IF('Mass Ion Calculations'!$D$6="Yes",IF('Mass Ion Calculations'!$D$7="Yes",'Mass Ion Calculations'!$D$18+'AA Exact Masses'!$Q$3-'Mass Ion Calculations'!$C$25-'Mass Ion Calculations'!$C5-'Mass Ion Calculations'!$D$5,'Mass Ion Calculations'!$F$18+'AA Exact Masses'!$Q$3-'Mass Ion Calculations'!$E$25-'Mass Ion Calculations'!$E5-'Mass Ion Calculations'!$D$5),IF('Mass Ion Calculations'!$D$7="Yes", 'Mass Ion Calculations'!$D$15+'AA Exact Masses'!$Q$3-'Mass Ion Calculations'!$C$25-'Mass Ion Calculations'!$C5-'Mass Ion Calculations'!$D$5,'Mass Ion Calculations'!$F$15+'AA Exact Masses'!$Q$3-'Mass Ion Calculations'!$E$25-'Mass Ion Calculations'!$E5-'Mass Ion Calculations'!$D$5)))</f>
        <v/>
      </c>
      <c r="X4" s="3" t="str">
        <f>IF(OR($B4="",X$3=""),"",IF('Mass Ion Calculations'!$D$6="Yes",IF('Mass Ion Calculations'!$D$7="Yes",'Mass Ion Calculations'!$D$18+'AA Exact Masses'!$Q$3-'Mass Ion Calculations'!$C$26-'Mass Ion Calculations'!$C5-'Mass Ion Calculations'!$D$5,'Mass Ion Calculations'!$F$18+'AA Exact Masses'!$Q$3-'Mass Ion Calculations'!$E$26-'Mass Ion Calculations'!$E5-'Mass Ion Calculations'!$D$5),IF('Mass Ion Calculations'!$D$7="Yes", 'Mass Ion Calculations'!$D$15+'AA Exact Masses'!$Q$3-'Mass Ion Calculations'!$C$26-'Mass Ion Calculations'!$C5-'Mass Ion Calculations'!$D$5,'Mass Ion Calculations'!$F$15+'AA Exact Masses'!$Q$3-'Mass Ion Calculations'!$E$26-'Mass Ion Calculations'!$E5-'Mass Ion Calculations'!$D$5)))</f>
        <v/>
      </c>
      <c r="Y4" s="3" t="str">
        <f>IF(OR($B4="",Y$3=""),"",IF('Mass Ion Calculations'!$D$6="Yes",IF('Mass Ion Calculations'!$D$7="Yes",'Mass Ion Calculations'!$D$18+'AA Exact Masses'!$Q$3-'Mass Ion Calculations'!$C$27-'Mass Ion Calculations'!$C5-'Mass Ion Calculations'!$D$5,'Mass Ion Calculations'!$F$18+'AA Exact Masses'!$Q$3-'Mass Ion Calculations'!$E$27-'Mass Ion Calculations'!$E5-'Mass Ion Calculations'!$D$5),IF('Mass Ion Calculations'!$D$7="Yes", 'Mass Ion Calculations'!$D$15+'AA Exact Masses'!$Q$3-'Mass Ion Calculations'!$C$27-'Mass Ion Calculations'!$C5-'Mass Ion Calculations'!$D$5,'Mass Ion Calculations'!$F$15+'AA Exact Masses'!$Q$3-'Mass Ion Calculations'!$E$27-'Mass Ion Calculations'!$E5-'Mass Ion Calculations'!$D$5)))</f>
        <v/>
      </c>
      <c r="Z4" s="3" t="str">
        <f>IF(OR($B4="",Z$3=""),"",IF('Mass Ion Calculations'!$D$6="Yes",IF('Mass Ion Calculations'!$D$7="Yes",'Mass Ion Calculations'!$D$18+'AA Exact Masses'!$Q$3-'Mass Ion Calculations'!$C$28-'Mass Ion Calculations'!$C5-'Mass Ion Calculations'!$D$5,'Mass Ion Calculations'!$F$18+'AA Exact Masses'!$Q$3-'Mass Ion Calculations'!$E$28-'Mass Ion Calculations'!$E5-'Mass Ion Calculations'!$D$5),IF('Mass Ion Calculations'!$D$7="Yes", 'Mass Ion Calculations'!$D$15+'AA Exact Masses'!$Q$3-'Mass Ion Calculations'!$C$28-'Mass Ion Calculations'!$C5-'Mass Ion Calculations'!$D$5,'Mass Ion Calculations'!$F$15+'AA Exact Masses'!$Q$3-'Mass Ion Calculations'!$E$28-'Mass Ion Calculations'!$E5-'Mass Ion Calculations'!$D$5)))</f>
        <v/>
      </c>
    </row>
    <row r="5" spans="2:26" x14ac:dyDescent="0.25">
      <c r="B5" s="4" t="str">
        <f>IF('Mass Ion Calculations'!B6="","",'Mass Ion Calculations'!B6)</f>
        <v>Ala</v>
      </c>
      <c r="C5" s="3">
        <f>IF(OR($B5="",C$3=""),"",IF('Mass Ion Calculations'!$D$6="Yes",IF('Mass Ion Calculations'!$D$7="Yes",'Mass Ion Calculations'!$D$18+'AA Exact Masses'!$Q$3-'Mass Ion Calculations'!$C$5-'Mass Ion Calculations'!$C6-'Mass Ion Calculations'!$D$5,'Mass Ion Calculations'!$F$18+'AA Exact Masses'!$Q$3-'Mass Ion Calculations'!$E$5-'Mass Ion Calculations'!$E6-'Mass Ion Calculations'!$D$5),IF('Mass Ion Calculations'!$D$7="Yes", 'Mass Ion Calculations'!$D$15+'AA Exact Masses'!$Q$3-'Mass Ion Calculations'!$C$5-'Mass Ion Calculations'!$C6-'Mass Ion Calculations'!$D$5,'Mass Ion Calculations'!$F$15+'AA Exact Masses'!$Q$3-'Mass Ion Calculations'!$E$5-'Mass Ion Calculations'!$E6-'Mass Ion Calculations'!$D$5)))</f>
        <v>460.79872</v>
      </c>
      <c r="D5" s="3">
        <f>IF(OR($B5="",D$3=""),"",IF('Mass Ion Calculations'!$D$6="Yes",IF('Mass Ion Calculations'!$D$7="Yes",'Mass Ion Calculations'!$D$18+'AA Exact Masses'!$Q$3-'Mass Ion Calculations'!$C$6-'Mass Ion Calculations'!$C6-'Mass Ion Calculations'!$D$5,'Mass Ion Calculations'!$F$18+'AA Exact Masses'!$Q$3-'Mass Ion Calculations'!$E$6-'Mass Ion Calculations'!$E6-'Mass Ion Calculations'!$D$5),IF('Mass Ion Calculations'!$D$7="Yes", 'Mass Ion Calculations'!$D$15+'AA Exact Masses'!$Q$3-'Mass Ion Calculations'!$C$6-'Mass Ion Calculations'!$C6-'Mass Ion Calculations'!$D$5,'Mass Ion Calculations'!$F$15+'AA Exact Masses'!$Q$3-'Mass Ion Calculations'!$E$6-'Mass Ion Calculations'!$E6-'Mass Ion Calculations'!$D$5)))</f>
        <v>503.84093000000007</v>
      </c>
      <c r="E5" s="3">
        <f>IF(OR($B5="",E$3=""),"",IF('Mass Ion Calculations'!$D$6="Yes",IF('Mass Ion Calculations'!$D$7="Yes",'Mass Ion Calculations'!$D$18+'AA Exact Masses'!$Q$3-'Mass Ion Calculations'!$C$7-'Mass Ion Calculations'!$C6-'Mass Ion Calculations'!$D$5,'Mass Ion Calculations'!$F$18+'AA Exact Masses'!$Q$3-'Mass Ion Calculations'!$E$7-'Mass Ion Calculations'!$E6-'Mass Ion Calculations'!$D$5),IF('Mass Ion Calculations'!$D$7="Yes", 'Mass Ion Calculations'!$D$15+'AA Exact Masses'!$Q$3-'Mass Ion Calculations'!$C$7-'Mass Ion Calculations'!$C6-'Mass Ion Calculations'!$D$5,'Mass Ion Calculations'!$F$15+'AA Exact Masses'!$Q$3-'Mass Ion Calculations'!$E$7-'Mass Ion Calculations'!$E6-'Mass Ion Calculations'!$D$5)))</f>
        <v>461.79398000000015</v>
      </c>
      <c r="F5" s="3">
        <f>IF(OR($B5="",F$3=""),"",IF('Mass Ion Calculations'!$D$6="Yes",IF('Mass Ion Calculations'!$D$7="Yes",'Mass Ion Calculations'!$D$18+'AA Exact Masses'!$Q$3-'Mass Ion Calculations'!$C$8-'Mass Ion Calculations'!$C6-'Mass Ion Calculations'!$D$5,'Mass Ion Calculations'!$F$18+'AA Exact Masses'!$Q$3-'Mass Ion Calculations'!$E$8-'Mass Ion Calculations'!$E6-'Mass Ion Calculations'!$D$5),IF('Mass Ion Calculations'!$D$7="Yes", 'Mass Ion Calculations'!$D$15+'AA Exact Masses'!$Q$3-'Mass Ion Calculations'!$C$8-'Mass Ion Calculations'!$C6-'Mass Ion Calculations'!$D$5,'Mass Ion Calculations'!$F$15+'AA Exact Masses'!$Q$3-'Mass Ion Calculations'!$E$8-'Mass Ion Calculations'!$E6-'Mass Ion Calculations'!$D$5)))</f>
        <v>461.79398000000015</v>
      </c>
      <c r="G5" s="3">
        <f>IF(OR($B5="",G$3=""),"",IF('Mass Ion Calculations'!$D$6="Yes",IF('Mass Ion Calculations'!$D$7="Yes",'Mass Ion Calculations'!$D$18+'AA Exact Masses'!$Q$3-'Mass Ion Calculations'!$C$9-'Mass Ion Calculations'!$C6-'Mass Ion Calculations'!$D$5,'Mass Ion Calculations'!$F$18+'AA Exact Masses'!$Q$3-'Mass Ion Calculations'!$E$9-'Mass Ion Calculations'!$E6-'Mass Ion Calculations'!$D$5),IF('Mass Ion Calculations'!$D$7="Yes", 'Mass Ion Calculations'!$D$15+'AA Exact Masses'!$Q$3-'Mass Ion Calculations'!$C$9-'Mass Ion Calculations'!$C6-'Mass Ion Calculations'!$D$5,'Mass Ion Calculations'!$F$15+'AA Exact Masses'!$Q$3-'Mass Ion Calculations'!$E$9-'Mass Ion Calculations'!$E6-'Mass Ion Calculations'!$D$5)))</f>
        <v>503.84093000000007</v>
      </c>
      <c r="H5" s="3">
        <f>IF(OR($B5="",H$3=""),"",IF('Mass Ion Calculations'!$D$6="Yes",IF('Mass Ion Calculations'!$D$7="Yes",'Mass Ion Calculations'!$D$18+'AA Exact Masses'!$Q$3-'Mass Ion Calculations'!$C$10-'Mass Ion Calculations'!$C6-'Mass Ion Calculations'!$D$5,'Mass Ion Calculations'!$F$18+'AA Exact Masses'!$Q$3-'Mass Ion Calculations'!$E$10-'Mass Ion Calculations'!$E6-'Mass Ion Calculations'!$D$5),IF('Mass Ion Calculations'!$D$7="Yes", 'Mass Ion Calculations'!$D$15+'AA Exact Masses'!$Q$3-'Mass Ion Calculations'!$C$10-'Mass Ion Calculations'!$C6-'Mass Ion Calculations'!$D$5,'Mass Ion Calculations'!$F$15+'AA Exact Masses'!$Q$3-'Mass Ion Calculations'!$E$10-'Mass Ion Calculations'!$E6-'Mass Ion Calculations'!$D$5)))</f>
        <v>461.79398000000015</v>
      </c>
      <c r="I5" s="3">
        <f>IF(OR($B5="",I$3=""),"",IF('Mass Ion Calculations'!$D$6="Yes",IF('Mass Ion Calculations'!$D$7="Yes",'Mass Ion Calculations'!$D$18+'AA Exact Masses'!$Q$3-'Mass Ion Calculations'!$C$11-'Mass Ion Calculations'!$C6-'Mass Ion Calculations'!$D$5,'Mass Ion Calculations'!$F$18+'AA Exact Masses'!$Q$3-'Mass Ion Calculations'!$E$11-'Mass Ion Calculations'!$E6-'Mass Ion Calculations'!$D$5),IF('Mass Ion Calculations'!$D$7="Yes", 'Mass Ion Calculations'!$D$15+'AA Exact Masses'!$Q$3-'Mass Ion Calculations'!$C$11-'Mass Ion Calculations'!$C6-'Mass Ion Calculations'!$D$5,'Mass Ion Calculations'!$F$15+'AA Exact Masses'!$Q$3-'Mass Ion Calculations'!$E$11-'Mass Ion Calculations'!$E6-'Mass Ion Calculations'!$D$5)))</f>
        <v>460.79872</v>
      </c>
      <c r="J5" s="3">
        <f>IF(OR($B5="",J$3=""),"",IF('Mass Ion Calculations'!$D$6="Yes",IF('Mass Ion Calculations'!$D$7="Yes",'Mass Ion Calculations'!$D$18+'AA Exact Masses'!$Q$3-'Mass Ion Calculations'!$C$12-'Mass Ion Calculations'!$C6-'Mass Ion Calculations'!$D$5,'Mass Ion Calculations'!$F$18+'AA Exact Masses'!$Q$3-'Mass Ion Calculations'!$E$12-'Mass Ion Calculations'!$E6-'Mass Ion Calculations'!$D$5),IF('Mass Ion Calculations'!$D$7="Yes", 'Mass Ion Calculations'!$D$15+'AA Exact Masses'!$Q$3-'Mass Ion Calculations'!$C$12-'Mass Ion Calculations'!$C6-'Mass Ion Calculations'!$D$5,'Mass Ion Calculations'!$F$15+'AA Exact Masses'!$Q$3-'Mass Ion Calculations'!$E$12-'Mass Ion Calculations'!$E6-'Mass Ion Calculations'!$D$5)))</f>
        <v>475.80962999999997</v>
      </c>
      <c r="K5" s="3">
        <f>IF(OR($B5="",K$3=""),"",IF('Mass Ion Calculations'!$D$6="Yes",IF('Mass Ion Calculations'!$D$7="Yes",'Mass Ion Calculations'!$D$18+'AA Exact Masses'!$Q$3-'Mass Ion Calculations'!$C$13-'Mass Ion Calculations'!$C6-'Mass Ion Calculations'!$D$5,'Mass Ion Calculations'!$F$18+'AA Exact Masses'!$Q$3-'Mass Ion Calculations'!$E$14-'Mass Ion Calculations'!$E6-'Mass Ion Calculations'!$D$5),IF('Mass Ion Calculations'!$D$7="Yes", 'Mass Ion Calculations'!$D$15+'AA Exact Masses'!$Q$3-'Mass Ion Calculations'!$C$13-'Mass Ion Calculations'!$C6-'Mass Ion Calculations'!$D$5,'Mass Ion Calculations'!$F$15+'AA Exact Masses'!$Q$3-'Mass Ion Calculations'!$E$14-'Mass Ion Calculations'!$E6-'Mass Ion Calculations'!$D$5)))</f>
        <v>445.83545000000004</v>
      </c>
      <c r="L5" s="3">
        <f>IF(OR($B5="",L$3=""),"",IF('Mass Ion Calculations'!$D$6="Yes",IF('Mass Ion Calculations'!$D$7="Yes",'Mass Ion Calculations'!$D$18+'AA Exact Masses'!$Q$3-'Mass Ion Calculations'!$C$14-'Mass Ion Calculations'!$C6-'Mass Ion Calculations'!$D$5,'Mass Ion Calculations'!$F$18+'AA Exact Masses'!$Q$3-'Mass Ion Calculations'!$E$15-'Mass Ion Calculations'!$E6-'Mass Ion Calculations'!$D$5),IF('Mass Ion Calculations'!$D$7="Yes", 'Mass Ion Calculations'!$D$15+'AA Exact Masses'!$Q$3-'Mass Ion Calculations'!$C$14-'Mass Ion Calculations'!$C6-'Mass Ion Calculations'!$D$5,'Mass Ion Calculations'!$F$15+'AA Exact Masses'!$Q$3-'Mass Ion Calculations'!$E$15-'Mass Ion Calculations'!$E6-'Mass Ion Calculations'!$D$5)))</f>
        <v>459.85110000000009</v>
      </c>
      <c r="M5" s="3">
        <f>IF(OR($B5="",M$3=""),"",IF('Mass Ion Calculations'!$D$6="Yes",IF('Mass Ion Calculations'!$D$7="Yes",'Mass Ion Calculations'!$D$18+'AA Exact Masses'!$Q$3-'Mass Ion Calculations'!$C$15-'Mass Ion Calculations'!$C6-'Mass Ion Calculations'!$D$5,'Mass Ion Calculations'!$F$18+'AA Exact Masses'!$Q$3-'Mass Ion Calculations'!$E$16-'Mass Ion Calculations'!$E6-'Mass Ion Calculations'!$D$5),IF('Mass Ion Calculations'!$D$7="Yes", 'Mass Ion Calculations'!$D$15+'AA Exact Masses'!$Q$3-'Mass Ion Calculations'!$C$15-'Mass Ion Calculations'!$C6-'Mass Ion Calculations'!$D$5,'Mass Ion Calculations'!$F$15+'AA Exact Masses'!$Q$3-'Mass Ion Calculations'!$E$16-'Mass Ion Calculations'!$E6-'Mass Ion Calculations'!$D$5)))</f>
        <v>503.84093000000007</v>
      </c>
      <c r="N5" s="3">
        <f>IF(OR($B5="",N$3=""),"",IF('Mass Ion Calculations'!$D$6="Yes",IF('Mass Ion Calculations'!$D$7="Yes",'Mass Ion Calculations'!$D$18+'AA Exact Masses'!$Q$3-'Mass Ion Calculations'!$C$16-'Mass Ion Calculations'!$C6-'Mass Ion Calculations'!$D$5,'Mass Ion Calculations'!$F$18+'AA Exact Masses'!$Q$3-'Mass Ion Calculations'!$E$17-'Mass Ion Calculations'!$E6-'Mass Ion Calculations'!$D$5),IF('Mass Ion Calculations'!$D$7="Yes", 'Mass Ion Calculations'!$D$15+'AA Exact Masses'!$Q$3-'Mass Ion Calculations'!$C$16-'Mass Ion Calculations'!$C6-'Mass Ion Calculations'!$D$5,'Mass Ion Calculations'!$F$15+'AA Exact Masses'!$Q$3-'Mass Ion Calculations'!$E$17-'Mass Ion Calculations'!$E6-'Mass Ion Calculations'!$D$5)))</f>
        <v>427.80962999999997</v>
      </c>
      <c r="O5" s="3">
        <f>IF(OR($B5="",O$3=""),"",IF('Mass Ion Calculations'!$D$6="Yes",IF('Mass Ion Calculations'!$D$7="Yes",'Mass Ion Calculations'!$D$18+'AA Exact Masses'!$Q$3-'Mass Ion Calculations'!$C$17-'Mass Ion Calculations'!$C6-'Mass Ion Calculations'!$D$5,'Mass Ion Calculations'!$F$18+'AA Exact Masses'!$Q$3-'Mass Ion Calculations'!$E$18-'Mass Ion Calculations'!$E6-'Mass Ion Calculations'!$D$5),IF('Mass Ion Calculations'!$D$7="Yes", 'Mass Ion Calculations'!$D$15+'AA Exact Masses'!$Q$3-'Mass Ion Calculations'!$C$17-'Mass Ion Calculations'!$C6-'Mass Ion Calculations'!$D$5,'Mass Ion Calculations'!$F$15+'AA Exact Masses'!$Q$3-'Mass Ion Calculations'!$E$18-'Mass Ion Calculations'!$E6-'Mass Ion Calculations'!$D$5)))</f>
        <v>301.91298000000006</v>
      </c>
      <c r="P5" s="3">
        <f>IF(OR($B5="",P$3=""),"",IF('Mass Ion Calculations'!$D$6="Yes",IF('Mass Ion Calculations'!$D$7="Yes",'Mass Ion Calculations'!$D$18+'AA Exact Masses'!$Q$3-'Mass Ion Calculations'!$C$19-'Mass Ion Calculations'!$C6-'Mass Ion Calculations'!$D$5,'Mass Ion Calculations'!$F$18+'AA Exact Masses'!$Q$3-'Mass Ion Calculations'!$E$19-'Mass Ion Calculations'!$E6-'Mass Ion Calculations'!$D$5),IF('Mass Ion Calculations'!$D$7="Yes", 'Mass Ion Calculations'!$D$15+'AA Exact Masses'!$Q$3-'Mass Ion Calculations'!$C$19-'Mass Ion Calculations'!$C6-'Mass Ion Calculations'!$D$5,'Mass Ion Calculations'!$F$15+'AA Exact Masses'!$Q$3-'Mass Ion Calculations'!$E$19-'Mass Ion Calculations'!$E6-'Mass Ion Calculations'!$D$5)))</f>
        <v>475.80962999999997</v>
      </c>
      <c r="Q5" s="3">
        <f>IF(OR($B5="",Q$3=""),"",IF('Mass Ion Calculations'!$D$6="Yes",IF('Mass Ion Calculations'!$D$7="Yes",'Mass Ion Calculations'!$D$18+'AA Exact Masses'!$Q$3-'Mass Ion Calculations'!$C$20-'Mass Ion Calculations'!$C6-'Mass Ion Calculations'!$D$5,'Mass Ion Calculations'!$F$18+'AA Exact Masses'!$Q$3-'Mass Ion Calculations'!$E$20-'Mass Ion Calculations'!$E6-'Mass Ion Calculations'!$D$5),IF('Mass Ion Calculations'!$D$7="Yes", 'Mass Ion Calculations'!$D$15+'AA Exact Masses'!$Q$3-'Mass Ion Calculations'!$C$20-'Mass Ion Calculations'!$C6-'Mass Ion Calculations'!$D$5,'Mass Ion Calculations'!$F$15+'AA Exact Masses'!$Q$3-'Mass Ion Calculations'!$E$20-'Mass Ion Calculations'!$E6-'Mass Ion Calculations'!$D$5)))</f>
        <v>461.79398000000015</v>
      </c>
      <c r="R5" s="3" t="e">
        <f>IF(OR($B5="",R$3=""),"",IF('Mass Ion Calculations'!$D$6="Yes",IF('Mass Ion Calculations'!$D$7="Yes",'Mass Ion Calculations'!$D$18+'AA Exact Masses'!$Q$3-'Mass Ion Calculations'!$C$21-'Mass Ion Calculations'!$C6-'Mass Ion Calculations'!$D$5,'Mass Ion Calculations'!$F$18+'AA Exact Masses'!$Q$3-'Mass Ion Calculations'!$E$21-'Mass Ion Calculations'!$E6-'Mass Ion Calculations'!$D$5),IF('Mass Ion Calculations'!$D$7="Yes", 'Mass Ion Calculations'!$D$15+'AA Exact Masses'!$Q$3-'Mass Ion Calculations'!$C$21-'Mass Ion Calculations'!$C6-'Mass Ion Calculations'!$D$5,'Mass Ion Calculations'!$F$15+'AA Exact Masses'!$Q$3-'Mass Ion Calculations'!$E$21-'Mass Ion Calculations'!$E6-'Mass Ion Calculations'!$D$5)))</f>
        <v>#VALUE!</v>
      </c>
      <c r="S5" s="3" t="str">
        <f>IF(OR($B5="",S$3=""),"",IF('Mass Ion Calculations'!$D$6="Yes",IF('Mass Ion Calculations'!$D$7="Yes",'Mass Ion Calculations'!$D$18+'AA Exact Masses'!$Q$3-'Mass Ion Calculations'!$C$21-'Mass Ion Calculations'!$C6-'Mass Ion Calculations'!$D$5,'Mass Ion Calculations'!$F$18+'AA Exact Masses'!$Q$3-'Mass Ion Calculations'!$E$21-'Mass Ion Calculations'!$E6-'Mass Ion Calculations'!$D$5),IF('Mass Ion Calculations'!$D$7="Yes", 'Mass Ion Calculations'!$D$15+'AA Exact Masses'!$Q$3-'Mass Ion Calculations'!$C$21-'Mass Ion Calculations'!$C6-'Mass Ion Calculations'!$D$5,'Mass Ion Calculations'!$F$15+'AA Exact Masses'!$Q$3-'Mass Ion Calculations'!$E$21-'Mass Ion Calculations'!$E6-'Mass Ion Calculations'!$D$5)))</f>
        <v/>
      </c>
      <c r="T5" s="3" t="e">
        <f>IF(OR($B5="",T$3=""),"",IF('Mass Ion Calculations'!$D$6="Yes",IF('Mass Ion Calculations'!$D$7="Yes",'Mass Ion Calculations'!$D$18+'AA Exact Masses'!$Q$3-'Mass Ion Calculations'!$C$22-'Mass Ion Calculations'!$C6-'Mass Ion Calculations'!$D$5,'Mass Ion Calculations'!$F$18+'AA Exact Masses'!$Q$3-'Mass Ion Calculations'!$E$22-'Mass Ion Calculations'!$E6-'Mass Ion Calculations'!$D$5),IF('Mass Ion Calculations'!$D$7="Yes", 'Mass Ion Calculations'!$D$15+'AA Exact Masses'!$Q$3-'Mass Ion Calculations'!$C$22-'Mass Ion Calculations'!$C6-'Mass Ion Calculations'!$D$5,'Mass Ion Calculations'!$F$15+'AA Exact Masses'!$Q$3-'Mass Ion Calculations'!$E$22-'Mass Ion Calculations'!$E6-'Mass Ion Calculations'!$D$5)))</f>
        <v>#VALUE!</v>
      </c>
      <c r="U5" s="3" t="e">
        <f>IF(OR($B5="",U$3=""),"",IF('Mass Ion Calculations'!$D$6="Yes",IF('Mass Ion Calculations'!$D$7="Yes",'Mass Ion Calculations'!$D$18+'AA Exact Masses'!$Q$3-'Mass Ion Calculations'!$C$23-'Mass Ion Calculations'!$C6-'Mass Ion Calculations'!$D$5,'Mass Ion Calculations'!$F$18+'AA Exact Masses'!$Q$3-'Mass Ion Calculations'!$E$23-'Mass Ion Calculations'!$E6-'Mass Ion Calculations'!$D$5),IF('Mass Ion Calculations'!$D$7="Yes", 'Mass Ion Calculations'!$D$15+'AA Exact Masses'!$Q$3-'Mass Ion Calculations'!$C$23-'Mass Ion Calculations'!$C6-'Mass Ion Calculations'!$D$5,'Mass Ion Calculations'!$F$15+'AA Exact Masses'!$Q$3-'Mass Ion Calculations'!$E$23-'Mass Ion Calculations'!$E6-'Mass Ion Calculations'!$D$5)))</f>
        <v>#VALUE!</v>
      </c>
      <c r="V5" s="3" t="str">
        <f>IF(OR($B5="",V$3=""),"",IF('Mass Ion Calculations'!$D$6="Yes",IF('Mass Ion Calculations'!$D$7="Yes",'Mass Ion Calculations'!$D$18+'AA Exact Masses'!$Q$3-'Mass Ion Calculations'!$C$24-'Mass Ion Calculations'!$C6-'Mass Ion Calculations'!$D$5,'Mass Ion Calculations'!$F$18+'AA Exact Masses'!$Q$3-'Mass Ion Calculations'!$E$24-'Mass Ion Calculations'!$E6-'Mass Ion Calculations'!$D$5),IF('Mass Ion Calculations'!$D$7="Yes", 'Mass Ion Calculations'!$D$15+'AA Exact Masses'!$Q$3-'Mass Ion Calculations'!$C$24-'Mass Ion Calculations'!$C6-'Mass Ion Calculations'!$D$5,'Mass Ion Calculations'!$F$15+'AA Exact Masses'!$Q$3-'Mass Ion Calculations'!$E$24-'Mass Ion Calculations'!$E6-'Mass Ion Calculations'!$D$5)))</f>
        <v/>
      </c>
      <c r="W5" s="3" t="str">
        <f>IF(OR($B5="",W$3=""),"",IF('Mass Ion Calculations'!$D$6="Yes",IF('Mass Ion Calculations'!$D$7="Yes",'Mass Ion Calculations'!$D$18+'AA Exact Masses'!$Q$3-'Mass Ion Calculations'!$C$25-'Mass Ion Calculations'!$C6-'Mass Ion Calculations'!$D$5,'Mass Ion Calculations'!$F$18+'AA Exact Masses'!$Q$3-'Mass Ion Calculations'!$E$25-'Mass Ion Calculations'!$E6-'Mass Ion Calculations'!$D$5),IF('Mass Ion Calculations'!$D$7="Yes", 'Mass Ion Calculations'!$D$15+'AA Exact Masses'!$Q$3-'Mass Ion Calculations'!$C$25-'Mass Ion Calculations'!$C6-'Mass Ion Calculations'!$D$5,'Mass Ion Calculations'!$F$15+'AA Exact Masses'!$Q$3-'Mass Ion Calculations'!$E$25-'Mass Ion Calculations'!$E6-'Mass Ion Calculations'!$D$5)))</f>
        <v/>
      </c>
      <c r="X5" s="3" t="str">
        <f>IF(OR($B5="",X$3=""),"",IF('Mass Ion Calculations'!$D$6="Yes",IF('Mass Ion Calculations'!$D$7="Yes",'Mass Ion Calculations'!$D$18+'AA Exact Masses'!$Q$3-'Mass Ion Calculations'!$C$26-'Mass Ion Calculations'!$C6-'Mass Ion Calculations'!$D$5,'Mass Ion Calculations'!$F$18+'AA Exact Masses'!$Q$3-'Mass Ion Calculations'!$E$26-'Mass Ion Calculations'!$E6-'Mass Ion Calculations'!$D$5),IF('Mass Ion Calculations'!$D$7="Yes", 'Mass Ion Calculations'!$D$15+'AA Exact Masses'!$Q$3-'Mass Ion Calculations'!$C$26-'Mass Ion Calculations'!$C6-'Mass Ion Calculations'!$D$5,'Mass Ion Calculations'!$F$15+'AA Exact Masses'!$Q$3-'Mass Ion Calculations'!$E$26-'Mass Ion Calculations'!$E6-'Mass Ion Calculations'!$D$5)))</f>
        <v/>
      </c>
      <c r="Y5" s="3" t="str">
        <f>IF(OR($B5="",Y$3=""),"",IF('Mass Ion Calculations'!$D$6="Yes",IF('Mass Ion Calculations'!$D$7="Yes",'Mass Ion Calculations'!$D$18+'AA Exact Masses'!$Q$3-'Mass Ion Calculations'!$C$27-'Mass Ion Calculations'!$C6-'Mass Ion Calculations'!$D$5,'Mass Ion Calculations'!$F$18+'AA Exact Masses'!$Q$3-'Mass Ion Calculations'!$E$27-'Mass Ion Calculations'!$E6-'Mass Ion Calculations'!$D$5),IF('Mass Ion Calculations'!$D$7="Yes", 'Mass Ion Calculations'!$D$15+'AA Exact Masses'!$Q$3-'Mass Ion Calculations'!$C$27-'Mass Ion Calculations'!$C6-'Mass Ion Calculations'!$D$5,'Mass Ion Calculations'!$F$15+'AA Exact Masses'!$Q$3-'Mass Ion Calculations'!$E$27-'Mass Ion Calculations'!$E6-'Mass Ion Calculations'!$D$5)))</f>
        <v/>
      </c>
      <c r="Z5" s="3" t="str">
        <f>IF(OR($B5="",Z$3=""),"",IF('Mass Ion Calculations'!$D$6="Yes",IF('Mass Ion Calculations'!$D$7="Yes",'Mass Ion Calculations'!$D$18+'AA Exact Masses'!$Q$3-'Mass Ion Calculations'!$C$28-'Mass Ion Calculations'!$C6-'Mass Ion Calculations'!$D$5,'Mass Ion Calculations'!$F$18+'AA Exact Masses'!$Q$3-'Mass Ion Calculations'!$E$28-'Mass Ion Calculations'!$E6-'Mass Ion Calculations'!$D$5),IF('Mass Ion Calculations'!$D$7="Yes", 'Mass Ion Calculations'!$D$15+'AA Exact Masses'!$Q$3-'Mass Ion Calculations'!$C$28-'Mass Ion Calculations'!$C6-'Mass Ion Calculations'!$D$5,'Mass Ion Calculations'!$F$15+'AA Exact Masses'!$Q$3-'Mass Ion Calculations'!$E$28-'Mass Ion Calculations'!$E6-'Mass Ion Calculations'!$D$5)))</f>
        <v/>
      </c>
    </row>
    <row r="6" spans="2:26" x14ac:dyDescent="0.25">
      <c r="B6" s="4" t="str">
        <f>IF('Mass Ion Calculations'!B7="","",'Mass Ion Calculations'!B7)</f>
        <v>Ile</v>
      </c>
      <c r="C6" s="3">
        <f>IF(OR($B6="",C$3=""),"",IF('Mass Ion Calculations'!$D$6="Yes",IF('Mass Ion Calculations'!$D$7="Yes",'Mass Ion Calculations'!$D$18+'AA Exact Masses'!$Q$3-'Mass Ion Calculations'!$C$5-'Mass Ion Calculations'!$C7-'Mass Ion Calculations'!$D$5,'Mass Ion Calculations'!$F$18+'AA Exact Masses'!$Q$3-'Mass Ion Calculations'!$E$5-'Mass Ion Calculations'!$E7-'Mass Ion Calculations'!$D$5),IF('Mass Ion Calculations'!$D$7="Yes", 'Mass Ion Calculations'!$D$15+'AA Exact Masses'!$Q$3-'Mass Ion Calculations'!$C$5-'Mass Ion Calculations'!$C7-'Mass Ion Calculations'!$D$5,'Mass Ion Calculations'!$F$15+'AA Exact Masses'!$Q$3-'Mass Ion Calculations'!$E$5-'Mass Ion Calculations'!$E7-'Mass Ion Calculations'!$D$5)))</f>
        <v>418.75177000000008</v>
      </c>
      <c r="D6" s="3">
        <f>IF(OR($B6="",D$3=""),"",IF('Mass Ion Calculations'!$D$6="Yes",IF('Mass Ion Calculations'!$D$7="Yes",'Mass Ion Calculations'!$D$18+'AA Exact Masses'!$Q$3-'Mass Ion Calculations'!$C$6-'Mass Ion Calculations'!$C7-'Mass Ion Calculations'!$D$5,'Mass Ion Calculations'!$F$18+'AA Exact Masses'!$Q$3-'Mass Ion Calculations'!$E$6-'Mass Ion Calculations'!$E7-'Mass Ion Calculations'!$D$5),IF('Mass Ion Calculations'!$D$7="Yes", 'Mass Ion Calculations'!$D$15+'AA Exact Masses'!$Q$3-'Mass Ion Calculations'!$C$6-'Mass Ion Calculations'!$C7-'Mass Ion Calculations'!$D$5,'Mass Ion Calculations'!$F$15+'AA Exact Masses'!$Q$3-'Mass Ion Calculations'!$E$6-'Mass Ion Calculations'!$E7-'Mass Ion Calculations'!$D$5)))</f>
        <v>461.79398000000015</v>
      </c>
      <c r="E6" s="3">
        <f>IF(OR($B6="",E$3=""),"",IF('Mass Ion Calculations'!$D$6="Yes",IF('Mass Ion Calculations'!$D$7="Yes",'Mass Ion Calculations'!$D$18+'AA Exact Masses'!$Q$3-'Mass Ion Calculations'!$C$7-'Mass Ion Calculations'!$C7-'Mass Ion Calculations'!$D$5,'Mass Ion Calculations'!$F$18+'AA Exact Masses'!$Q$3-'Mass Ion Calculations'!$E$7-'Mass Ion Calculations'!$E7-'Mass Ion Calculations'!$D$5),IF('Mass Ion Calculations'!$D$7="Yes", 'Mass Ion Calculations'!$D$15+'AA Exact Masses'!$Q$3-'Mass Ion Calculations'!$C$7-'Mass Ion Calculations'!$C7-'Mass Ion Calculations'!$D$5,'Mass Ion Calculations'!$F$15+'AA Exact Masses'!$Q$3-'Mass Ion Calculations'!$E$7-'Mass Ion Calculations'!$E7-'Mass Ion Calculations'!$D$5)))</f>
        <v>419.74703000000022</v>
      </c>
      <c r="F6" s="3">
        <f>IF(OR($B6="",F$3=""),"",IF('Mass Ion Calculations'!$D$6="Yes",IF('Mass Ion Calculations'!$D$7="Yes",'Mass Ion Calculations'!$D$18+'AA Exact Masses'!$Q$3-'Mass Ion Calculations'!$C$8-'Mass Ion Calculations'!$C7-'Mass Ion Calculations'!$D$5,'Mass Ion Calculations'!$F$18+'AA Exact Masses'!$Q$3-'Mass Ion Calculations'!$E$8-'Mass Ion Calculations'!$E7-'Mass Ion Calculations'!$D$5),IF('Mass Ion Calculations'!$D$7="Yes", 'Mass Ion Calculations'!$D$15+'AA Exact Masses'!$Q$3-'Mass Ion Calculations'!$C$8-'Mass Ion Calculations'!$C7-'Mass Ion Calculations'!$D$5,'Mass Ion Calculations'!$F$15+'AA Exact Masses'!$Q$3-'Mass Ion Calculations'!$E$8-'Mass Ion Calculations'!$E7-'Mass Ion Calculations'!$D$5)))</f>
        <v>419.74703000000022</v>
      </c>
      <c r="G6" s="3">
        <f>IF(OR($B6="",G$3=""),"",IF('Mass Ion Calculations'!$D$6="Yes",IF('Mass Ion Calculations'!$D$7="Yes",'Mass Ion Calculations'!$D$18+'AA Exact Masses'!$Q$3-'Mass Ion Calculations'!$C$9-'Mass Ion Calculations'!$C7-'Mass Ion Calculations'!$D$5,'Mass Ion Calculations'!$F$18+'AA Exact Masses'!$Q$3-'Mass Ion Calculations'!$E$9-'Mass Ion Calculations'!$E7-'Mass Ion Calculations'!$D$5),IF('Mass Ion Calculations'!$D$7="Yes", 'Mass Ion Calculations'!$D$15+'AA Exact Masses'!$Q$3-'Mass Ion Calculations'!$C$9-'Mass Ion Calculations'!$C7-'Mass Ion Calculations'!$D$5,'Mass Ion Calculations'!$F$15+'AA Exact Masses'!$Q$3-'Mass Ion Calculations'!$E$9-'Mass Ion Calculations'!$E7-'Mass Ion Calculations'!$D$5)))</f>
        <v>461.79398000000015</v>
      </c>
      <c r="H6" s="3">
        <f>IF(OR($B6="",H$3=""),"",IF('Mass Ion Calculations'!$D$6="Yes",IF('Mass Ion Calculations'!$D$7="Yes",'Mass Ion Calculations'!$D$18+'AA Exact Masses'!$Q$3-'Mass Ion Calculations'!$C$10-'Mass Ion Calculations'!$C7-'Mass Ion Calculations'!$D$5,'Mass Ion Calculations'!$F$18+'AA Exact Masses'!$Q$3-'Mass Ion Calculations'!$E$10-'Mass Ion Calculations'!$E7-'Mass Ion Calculations'!$D$5),IF('Mass Ion Calculations'!$D$7="Yes", 'Mass Ion Calculations'!$D$15+'AA Exact Masses'!$Q$3-'Mass Ion Calculations'!$C$10-'Mass Ion Calculations'!$C7-'Mass Ion Calculations'!$D$5,'Mass Ion Calculations'!$F$15+'AA Exact Masses'!$Q$3-'Mass Ion Calculations'!$E$10-'Mass Ion Calculations'!$E7-'Mass Ion Calculations'!$D$5)))</f>
        <v>419.74703000000022</v>
      </c>
      <c r="I6" s="3">
        <f>IF(OR($B6="",I$3=""),"",IF('Mass Ion Calculations'!$D$6="Yes",IF('Mass Ion Calculations'!$D$7="Yes",'Mass Ion Calculations'!$D$18+'AA Exact Masses'!$Q$3-'Mass Ion Calculations'!$C$11-'Mass Ion Calculations'!$C7-'Mass Ion Calculations'!$D$5,'Mass Ion Calculations'!$F$18+'AA Exact Masses'!$Q$3-'Mass Ion Calculations'!$E$11-'Mass Ion Calculations'!$E7-'Mass Ion Calculations'!$D$5),IF('Mass Ion Calculations'!$D$7="Yes", 'Mass Ion Calculations'!$D$15+'AA Exact Masses'!$Q$3-'Mass Ion Calculations'!$C$11-'Mass Ion Calculations'!$C7-'Mass Ion Calculations'!$D$5,'Mass Ion Calculations'!$F$15+'AA Exact Masses'!$Q$3-'Mass Ion Calculations'!$E$11-'Mass Ion Calculations'!$E7-'Mass Ion Calculations'!$D$5)))</f>
        <v>418.75177000000008</v>
      </c>
      <c r="J6" s="3">
        <f>IF(OR($B6="",J$3=""),"",IF('Mass Ion Calculations'!$D$6="Yes",IF('Mass Ion Calculations'!$D$7="Yes",'Mass Ion Calculations'!$D$18+'AA Exact Masses'!$Q$3-'Mass Ion Calculations'!$C$12-'Mass Ion Calculations'!$C7-'Mass Ion Calculations'!$D$5,'Mass Ion Calculations'!$F$18+'AA Exact Masses'!$Q$3-'Mass Ion Calculations'!$E$12-'Mass Ion Calculations'!$E7-'Mass Ion Calculations'!$D$5),IF('Mass Ion Calculations'!$D$7="Yes", 'Mass Ion Calculations'!$D$15+'AA Exact Masses'!$Q$3-'Mass Ion Calculations'!$C$12-'Mass Ion Calculations'!$C7-'Mass Ion Calculations'!$D$5,'Mass Ion Calculations'!$F$15+'AA Exact Masses'!$Q$3-'Mass Ion Calculations'!$E$12-'Mass Ion Calculations'!$E7-'Mass Ion Calculations'!$D$5)))</f>
        <v>433.76268000000005</v>
      </c>
      <c r="K6" s="3">
        <f>IF(OR($B6="",K$3=""),"",IF('Mass Ion Calculations'!$D$6="Yes",IF('Mass Ion Calculations'!$D$7="Yes",'Mass Ion Calculations'!$D$18+'AA Exact Masses'!$Q$3-'Mass Ion Calculations'!$C$13-'Mass Ion Calculations'!$C7-'Mass Ion Calculations'!$D$5,'Mass Ion Calculations'!$F$18+'AA Exact Masses'!$Q$3-'Mass Ion Calculations'!$E$14-'Mass Ion Calculations'!$E7-'Mass Ion Calculations'!$D$5),IF('Mass Ion Calculations'!$D$7="Yes", 'Mass Ion Calculations'!$D$15+'AA Exact Masses'!$Q$3-'Mass Ion Calculations'!$C$13-'Mass Ion Calculations'!$C7-'Mass Ion Calculations'!$D$5,'Mass Ion Calculations'!$F$15+'AA Exact Masses'!$Q$3-'Mass Ion Calculations'!$E$14-'Mass Ion Calculations'!$E7-'Mass Ion Calculations'!$D$5)))</f>
        <v>403.78850000000011</v>
      </c>
      <c r="L6" s="3">
        <f>IF(OR($B6="",L$3=""),"",IF('Mass Ion Calculations'!$D$6="Yes",IF('Mass Ion Calculations'!$D$7="Yes",'Mass Ion Calculations'!$D$18+'AA Exact Masses'!$Q$3-'Mass Ion Calculations'!$C$14-'Mass Ion Calculations'!$C7-'Mass Ion Calculations'!$D$5,'Mass Ion Calculations'!$F$18+'AA Exact Masses'!$Q$3-'Mass Ion Calculations'!$E$15-'Mass Ion Calculations'!$E7-'Mass Ion Calculations'!$D$5),IF('Mass Ion Calculations'!$D$7="Yes", 'Mass Ion Calculations'!$D$15+'AA Exact Masses'!$Q$3-'Mass Ion Calculations'!$C$14-'Mass Ion Calculations'!$C7-'Mass Ion Calculations'!$D$5,'Mass Ion Calculations'!$F$15+'AA Exact Masses'!$Q$3-'Mass Ion Calculations'!$E$15-'Mass Ion Calculations'!$E7-'Mass Ion Calculations'!$D$5)))</f>
        <v>417.80415000000016</v>
      </c>
      <c r="M6" s="3">
        <f>IF(OR($B6="",M$3=""),"",IF('Mass Ion Calculations'!$D$6="Yes",IF('Mass Ion Calculations'!$D$7="Yes",'Mass Ion Calculations'!$D$18+'AA Exact Masses'!$Q$3-'Mass Ion Calculations'!$C$15-'Mass Ion Calculations'!$C7-'Mass Ion Calculations'!$D$5,'Mass Ion Calculations'!$F$18+'AA Exact Masses'!$Q$3-'Mass Ion Calculations'!$E$16-'Mass Ion Calculations'!$E7-'Mass Ion Calculations'!$D$5),IF('Mass Ion Calculations'!$D$7="Yes", 'Mass Ion Calculations'!$D$15+'AA Exact Masses'!$Q$3-'Mass Ion Calculations'!$C$15-'Mass Ion Calculations'!$C7-'Mass Ion Calculations'!$D$5,'Mass Ion Calculations'!$F$15+'AA Exact Masses'!$Q$3-'Mass Ion Calculations'!$E$16-'Mass Ion Calculations'!$E7-'Mass Ion Calculations'!$D$5)))</f>
        <v>461.79398000000015</v>
      </c>
      <c r="N6" s="3">
        <f>IF(OR($B6="",N$3=""),"",IF('Mass Ion Calculations'!$D$6="Yes",IF('Mass Ion Calculations'!$D$7="Yes",'Mass Ion Calculations'!$D$18+'AA Exact Masses'!$Q$3-'Mass Ion Calculations'!$C$16-'Mass Ion Calculations'!$C7-'Mass Ion Calculations'!$D$5,'Mass Ion Calculations'!$F$18+'AA Exact Masses'!$Q$3-'Mass Ion Calculations'!$E$17-'Mass Ion Calculations'!$E7-'Mass Ion Calculations'!$D$5),IF('Mass Ion Calculations'!$D$7="Yes", 'Mass Ion Calculations'!$D$15+'AA Exact Masses'!$Q$3-'Mass Ion Calculations'!$C$16-'Mass Ion Calculations'!$C7-'Mass Ion Calculations'!$D$5,'Mass Ion Calculations'!$F$15+'AA Exact Masses'!$Q$3-'Mass Ion Calculations'!$E$17-'Mass Ion Calculations'!$E7-'Mass Ion Calculations'!$D$5)))</f>
        <v>385.76268000000005</v>
      </c>
      <c r="O6" s="3">
        <f>IF(OR($B6="",O$3=""),"",IF('Mass Ion Calculations'!$D$6="Yes",IF('Mass Ion Calculations'!$D$7="Yes",'Mass Ion Calculations'!$D$18+'AA Exact Masses'!$Q$3-'Mass Ion Calculations'!$C$17-'Mass Ion Calculations'!$C7-'Mass Ion Calculations'!$D$5,'Mass Ion Calculations'!$F$18+'AA Exact Masses'!$Q$3-'Mass Ion Calculations'!$E$18-'Mass Ion Calculations'!$E7-'Mass Ion Calculations'!$D$5),IF('Mass Ion Calculations'!$D$7="Yes", 'Mass Ion Calculations'!$D$15+'AA Exact Masses'!$Q$3-'Mass Ion Calculations'!$C$17-'Mass Ion Calculations'!$C7-'Mass Ion Calculations'!$D$5,'Mass Ion Calculations'!$F$15+'AA Exact Masses'!$Q$3-'Mass Ion Calculations'!$E$18-'Mass Ion Calculations'!$E7-'Mass Ion Calculations'!$D$5)))</f>
        <v>259.86603000000014</v>
      </c>
      <c r="P6" s="3">
        <f>IF(OR($B6="",P$3=""),"",IF('Mass Ion Calculations'!$D$6="Yes",IF('Mass Ion Calculations'!$D$7="Yes",'Mass Ion Calculations'!$D$18+'AA Exact Masses'!$Q$3-'Mass Ion Calculations'!$C$19-'Mass Ion Calculations'!$C7-'Mass Ion Calculations'!$D$5,'Mass Ion Calculations'!$F$18+'AA Exact Masses'!$Q$3-'Mass Ion Calculations'!$E$19-'Mass Ion Calculations'!$E7-'Mass Ion Calculations'!$D$5),IF('Mass Ion Calculations'!$D$7="Yes", 'Mass Ion Calculations'!$D$15+'AA Exact Masses'!$Q$3-'Mass Ion Calculations'!$C$19-'Mass Ion Calculations'!$C7-'Mass Ion Calculations'!$D$5,'Mass Ion Calculations'!$F$15+'AA Exact Masses'!$Q$3-'Mass Ion Calculations'!$E$19-'Mass Ion Calculations'!$E7-'Mass Ion Calculations'!$D$5)))</f>
        <v>433.76268000000005</v>
      </c>
      <c r="Q6" s="3">
        <f>IF(OR($B6="",Q$3=""),"",IF('Mass Ion Calculations'!$D$6="Yes",IF('Mass Ion Calculations'!$D$7="Yes",'Mass Ion Calculations'!$D$18+'AA Exact Masses'!$Q$3-'Mass Ion Calculations'!$C$20-'Mass Ion Calculations'!$C7-'Mass Ion Calculations'!$D$5,'Mass Ion Calculations'!$F$18+'AA Exact Masses'!$Q$3-'Mass Ion Calculations'!$E$20-'Mass Ion Calculations'!$E7-'Mass Ion Calculations'!$D$5),IF('Mass Ion Calculations'!$D$7="Yes", 'Mass Ion Calculations'!$D$15+'AA Exact Masses'!$Q$3-'Mass Ion Calculations'!$C$20-'Mass Ion Calculations'!$C7-'Mass Ion Calculations'!$D$5,'Mass Ion Calculations'!$F$15+'AA Exact Masses'!$Q$3-'Mass Ion Calculations'!$E$20-'Mass Ion Calculations'!$E7-'Mass Ion Calculations'!$D$5)))</f>
        <v>419.74703000000022</v>
      </c>
      <c r="R6" s="3" t="e">
        <f>IF(OR($B6="",R$3=""),"",IF('Mass Ion Calculations'!$D$6="Yes",IF('Mass Ion Calculations'!$D$7="Yes",'Mass Ion Calculations'!$D$18+'AA Exact Masses'!$Q$3-'Mass Ion Calculations'!$C$21-'Mass Ion Calculations'!$C7-'Mass Ion Calculations'!$D$5,'Mass Ion Calculations'!$F$18+'AA Exact Masses'!$Q$3-'Mass Ion Calculations'!$E$21-'Mass Ion Calculations'!$E7-'Mass Ion Calculations'!$D$5),IF('Mass Ion Calculations'!$D$7="Yes", 'Mass Ion Calculations'!$D$15+'AA Exact Masses'!$Q$3-'Mass Ion Calculations'!$C$21-'Mass Ion Calculations'!$C7-'Mass Ion Calculations'!$D$5,'Mass Ion Calculations'!$F$15+'AA Exact Masses'!$Q$3-'Mass Ion Calculations'!$E$21-'Mass Ion Calculations'!$E7-'Mass Ion Calculations'!$D$5)))</f>
        <v>#VALUE!</v>
      </c>
      <c r="S6" s="3" t="str">
        <f>IF(OR($B6="",S$3=""),"",IF('Mass Ion Calculations'!$D$6="Yes",IF('Mass Ion Calculations'!$D$7="Yes",'Mass Ion Calculations'!$D$18+'AA Exact Masses'!$Q$3-'Mass Ion Calculations'!$C$21-'Mass Ion Calculations'!$C7-'Mass Ion Calculations'!$D$5,'Mass Ion Calculations'!$F$18+'AA Exact Masses'!$Q$3-'Mass Ion Calculations'!$E$21-'Mass Ion Calculations'!$E7-'Mass Ion Calculations'!$D$5),IF('Mass Ion Calculations'!$D$7="Yes", 'Mass Ion Calculations'!$D$15+'AA Exact Masses'!$Q$3-'Mass Ion Calculations'!$C$21-'Mass Ion Calculations'!$C7-'Mass Ion Calculations'!$D$5,'Mass Ion Calculations'!$F$15+'AA Exact Masses'!$Q$3-'Mass Ion Calculations'!$E$21-'Mass Ion Calculations'!$E7-'Mass Ion Calculations'!$D$5)))</f>
        <v/>
      </c>
      <c r="T6" s="3" t="e">
        <f>IF(OR($B6="",T$3=""),"",IF('Mass Ion Calculations'!$D$6="Yes",IF('Mass Ion Calculations'!$D$7="Yes",'Mass Ion Calculations'!$D$18+'AA Exact Masses'!$Q$3-'Mass Ion Calculations'!$C$22-'Mass Ion Calculations'!$C7-'Mass Ion Calculations'!$D$5,'Mass Ion Calculations'!$F$18+'AA Exact Masses'!$Q$3-'Mass Ion Calculations'!$E$22-'Mass Ion Calculations'!$E7-'Mass Ion Calculations'!$D$5),IF('Mass Ion Calculations'!$D$7="Yes", 'Mass Ion Calculations'!$D$15+'AA Exact Masses'!$Q$3-'Mass Ion Calculations'!$C$22-'Mass Ion Calculations'!$C7-'Mass Ion Calculations'!$D$5,'Mass Ion Calculations'!$F$15+'AA Exact Masses'!$Q$3-'Mass Ion Calculations'!$E$22-'Mass Ion Calculations'!$E7-'Mass Ion Calculations'!$D$5)))</f>
        <v>#VALUE!</v>
      </c>
      <c r="U6" s="3" t="e">
        <f>IF(OR($B6="",U$3=""),"",IF('Mass Ion Calculations'!$D$6="Yes",IF('Mass Ion Calculations'!$D$7="Yes",'Mass Ion Calculations'!$D$18+'AA Exact Masses'!$Q$3-'Mass Ion Calculations'!$C$23-'Mass Ion Calculations'!$C7-'Mass Ion Calculations'!$D$5,'Mass Ion Calculations'!$F$18+'AA Exact Masses'!$Q$3-'Mass Ion Calculations'!$E$23-'Mass Ion Calculations'!$E7-'Mass Ion Calculations'!$D$5),IF('Mass Ion Calculations'!$D$7="Yes", 'Mass Ion Calculations'!$D$15+'AA Exact Masses'!$Q$3-'Mass Ion Calculations'!$C$23-'Mass Ion Calculations'!$C7-'Mass Ion Calculations'!$D$5,'Mass Ion Calculations'!$F$15+'AA Exact Masses'!$Q$3-'Mass Ion Calculations'!$E$23-'Mass Ion Calculations'!$E7-'Mass Ion Calculations'!$D$5)))</f>
        <v>#VALUE!</v>
      </c>
      <c r="V6" s="3" t="str">
        <f>IF(OR($B6="",V$3=""),"",IF('Mass Ion Calculations'!$D$6="Yes",IF('Mass Ion Calculations'!$D$7="Yes",'Mass Ion Calculations'!$D$18+'AA Exact Masses'!$Q$3-'Mass Ion Calculations'!$C$24-'Mass Ion Calculations'!$C7-'Mass Ion Calculations'!$D$5,'Mass Ion Calculations'!$F$18+'AA Exact Masses'!$Q$3-'Mass Ion Calculations'!$E$24-'Mass Ion Calculations'!$E7-'Mass Ion Calculations'!$D$5),IF('Mass Ion Calculations'!$D$7="Yes", 'Mass Ion Calculations'!$D$15+'AA Exact Masses'!$Q$3-'Mass Ion Calculations'!$C$24-'Mass Ion Calculations'!$C7-'Mass Ion Calculations'!$D$5,'Mass Ion Calculations'!$F$15+'AA Exact Masses'!$Q$3-'Mass Ion Calculations'!$E$24-'Mass Ion Calculations'!$E7-'Mass Ion Calculations'!$D$5)))</f>
        <v/>
      </c>
      <c r="W6" s="3" t="str">
        <f>IF(OR($B6="",W$3=""),"",IF('Mass Ion Calculations'!$D$6="Yes",IF('Mass Ion Calculations'!$D$7="Yes",'Mass Ion Calculations'!$D$18+'AA Exact Masses'!$Q$3-'Mass Ion Calculations'!$C$25-'Mass Ion Calculations'!$C7-'Mass Ion Calculations'!$D$5,'Mass Ion Calculations'!$F$18+'AA Exact Masses'!$Q$3-'Mass Ion Calculations'!$E$25-'Mass Ion Calculations'!$E7-'Mass Ion Calculations'!$D$5),IF('Mass Ion Calculations'!$D$7="Yes", 'Mass Ion Calculations'!$D$15+'AA Exact Masses'!$Q$3-'Mass Ion Calculations'!$C$25-'Mass Ion Calculations'!$C7-'Mass Ion Calculations'!$D$5,'Mass Ion Calculations'!$F$15+'AA Exact Masses'!$Q$3-'Mass Ion Calculations'!$E$25-'Mass Ion Calculations'!$E7-'Mass Ion Calculations'!$D$5)))</f>
        <v/>
      </c>
      <c r="X6" s="3" t="str">
        <f>IF(OR($B6="",X$3=""),"",IF('Mass Ion Calculations'!$D$6="Yes",IF('Mass Ion Calculations'!$D$7="Yes",'Mass Ion Calculations'!$D$18+'AA Exact Masses'!$Q$3-'Mass Ion Calculations'!$C$26-'Mass Ion Calculations'!$C7-'Mass Ion Calculations'!$D$5,'Mass Ion Calculations'!$F$18+'AA Exact Masses'!$Q$3-'Mass Ion Calculations'!$E$26-'Mass Ion Calculations'!$E7-'Mass Ion Calculations'!$D$5),IF('Mass Ion Calculations'!$D$7="Yes", 'Mass Ion Calculations'!$D$15+'AA Exact Masses'!$Q$3-'Mass Ion Calculations'!$C$26-'Mass Ion Calculations'!$C7-'Mass Ion Calculations'!$D$5,'Mass Ion Calculations'!$F$15+'AA Exact Masses'!$Q$3-'Mass Ion Calculations'!$E$26-'Mass Ion Calculations'!$E7-'Mass Ion Calculations'!$D$5)))</f>
        <v/>
      </c>
      <c r="Y6" s="3" t="str">
        <f>IF(OR($B6="",Y$3=""),"",IF('Mass Ion Calculations'!$D$6="Yes",IF('Mass Ion Calculations'!$D$7="Yes",'Mass Ion Calculations'!$D$18+'AA Exact Masses'!$Q$3-'Mass Ion Calculations'!$C$27-'Mass Ion Calculations'!$C7-'Mass Ion Calculations'!$D$5,'Mass Ion Calculations'!$F$18+'AA Exact Masses'!$Q$3-'Mass Ion Calculations'!$E$27-'Mass Ion Calculations'!$E7-'Mass Ion Calculations'!$D$5),IF('Mass Ion Calculations'!$D$7="Yes", 'Mass Ion Calculations'!$D$15+'AA Exact Masses'!$Q$3-'Mass Ion Calculations'!$C$27-'Mass Ion Calculations'!$C7-'Mass Ion Calculations'!$D$5,'Mass Ion Calculations'!$F$15+'AA Exact Masses'!$Q$3-'Mass Ion Calculations'!$E$27-'Mass Ion Calculations'!$E7-'Mass Ion Calculations'!$D$5)))</f>
        <v/>
      </c>
      <c r="Z6" s="3" t="str">
        <f>IF(OR($B6="",Z$3=""),"",IF('Mass Ion Calculations'!$D$6="Yes",IF('Mass Ion Calculations'!$D$7="Yes",'Mass Ion Calculations'!$D$18+'AA Exact Masses'!$Q$3-'Mass Ion Calculations'!$C$28-'Mass Ion Calculations'!$C7-'Mass Ion Calculations'!$D$5,'Mass Ion Calculations'!$F$18+'AA Exact Masses'!$Q$3-'Mass Ion Calculations'!$E$28-'Mass Ion Calculations'!$E7-'Mass Ion Calculations'!$D$5),IF('Mass Ion Calculations'!$D$7="Yes", 'Mass Ion Calculations'!$D$15+'AA Exact Masses'!$Q$3-'Mass Ion Calculations'!$C$28-'Mass Ion Calculations'!$C7-'Mass Ion Calculations'!$D$5,'Mass Ion Calculations'!$F$15+'AA Exact Masses'!$Q$3-'Mass Ion Calculations'!$E$28-'Mass Ion Calculations'!$E7-'Mass Ion Calculations'!$D$5)))</f>
        <v/>
      </c>
    </row>
    <row r="7" spans="2:26" x14ac:dyDescent="0.25">
      <c r="B7" s="4" t="str">
        <f>IF('Mass Ion Calculations'!B8="","",'Mass Ion Calculations'!B8)</f>
        <v>Ile</v>
      </c>
      <c r="C7" s="3">
        <f>IF(OR($B7="",C$3=""),"",IF('Mass Ion Calculations'!$D$6="Yes",IF('Mass Ion Calculations'!$D$7="Yes",'Mass Ion Calculations'!$D$18+'AA Exact Masses'!$Q$3-'Mass Ion Calculations'!$C$5-'Mass Ion Calculations'!$C8-'Mass Ion Calculations'!$D$5,'Mass Ion Calculations'!$F$18+'AA Exact Masses'!$Q$3-'Mass Ion Calculations'!$E$5-'Mass Ion Calculations'!$E8-'Mass Ion Calculations'!$D$5),IF('Mass Ion Calculations'!$D$7="Yes", 'Mass Ion Calculations'!$D$15+'AA Exact Masses'!$Q$3-'Mass Ion Calculations'!$C$5-'Mass Ion Calculations'!$C8-'Mass Ion Calculations'!$D$5,'Mass Ion Calculations'!$F$15+'AA Exact Masses'!$Q$3-'Mass Ion Calculations'!$E$5-'Mass Ion Calculations'!$E8-'Mass Ion Calculations'!$D$5)))</f>
        <v>418.75177000000008</v>
      </c>
      <c r="D7" s="3">
        <f>IF(OR($B7="",D$3=""),"",IF('Mass Ion Calculations'!$D$6="Yes",IF('Mass Ion Calculations'!$D$7="Yes",'Mass Ion Calculations'!$D$18+'AA Exact Masses'!$Q$3-'Mass Ion Calculations'!$C$6-'Mass Ion Calculations'!$C8-'Mass Ion Calculations'!$D$5,'Mass Ion Calculations'!$F$18+'AA Exact Masses'!$Q$3-'Mass Ion Calculations'!$E$6-'Mass Ion Calculations'!$E8-'Mass Ion Calculations'!$D$5),IF('Mass Ion Calculations'!$D$7="Yes", 'Mass Ion Calculations'!$D$15+'AA Exact Masses'!$Q$3-'Mass Ion Calculations'!$C$6-'Mass Ion Calculations'!$C8-'Mass Ion Calculations'!$D$5,'Mass Ion Calculations'!$F$15+'AA Exact Masses'!$Q$3-'Mass Ion Calculations'!$E$6-'Mass Ion Calculations'!$E8-'Mass Ion Calculations'!$D$5)))</f>
        <v>461.79398000000015</v>
      </c>
      <c r="E7" s="3">
        <f>IF(OR($B7="",E$3=""),"",IF('Mass Ion Calculations'!$D$6="Yes",IF('Mass Ion Calculations'!$D$7="Yes",'Mass Ion Calculations'!$D$18+'AA Exact Masses'!$Q$3-'Mass Ion Calculations'!$C$7-'Mass Ion Calculations'!$C8-'Mass Ion Calculations'!$D$5,'Mass Ion Calculations'!$F$18+'AA Exact Masses'!$Q$3-'Mass Ion Calculations'!$E$7-'Mass Ion Calculations'!$E8-'Mass Ion Calculations'!$D$5),IF('Mass Ion Calculations'!$D$7="Yes", 'Mass Ion Calculations'!$D$15+'AA Exact Masses'!$Q$3-'Mass Ion Calculations'!$C$7-'Mass Ion Calculations'!$C8-'Mass Ion Calculations'!$D$5,'Mass Ion Calculations'!$F$15+'AA Exact Masses'!$Q$3-'Mass Ion Calculations'!$E$7-'Mass Ion Calculations'!$E8-'Mass Ion Calculations'!$D$5)))</f>
        <v>419.74703000000022</v>
      </c>
      <c r="F7" s="3">
        <f>IF(OR($B7="",F$3=""),"",IF('Mass Ion Calculations'!$D$6="Yes",IF('Mass Ion Calculations'!$D$7="Yes",'Mass Ion Calculations'!$D$18+'AA Exact Masses'!$Q$3-'Mass Ion Calculations'!$C$8-'Mass Ion Calculations'!$C8-'Mass Ion Calculations'!$D$5,'Mass Ion Calculations'!$F$18+'AA Exact Masses'!$Q$3-'Mass Ion Calculations'!$E$8-'Mass Ion Calculations'!$E8-'Mass Ion Calculations'!$D$5),IF('Mass Ion Calculations'!$D$7="Yes", 'Mass Ion Calculations'!$D$15+'AA Exact Masses'!$Q$3-'Mass Ion Calculations'!$C$8-'Mass Ion Calculations'!$C8-'Mass Ion Calculations'!$D$5,'Mass Ion Calculations'!$F$15+'AA Exact Masses'!$Q$3-'Mass Ion Calculations'!$E$8-'Mass Ion Calculations'!$E8-'Mass Ion Calculations'!$D$5)))</f>
        <v>419.74703000000022</v>
      </c>
      <c r="G7" s="3">
        <f>IF(OR($B7="",G$3=""),"",IF('Mass Ion Calculations'!$D$6="Yes",IF('Mass Ion Calculations'!$D$7="Yes",'Mass Ion Calculations'!$D$18+'AA Exact Masses'!$Q$3-'Mass Ion Calculations'!$C$9-'Mass Ion Calculations'!$C8-'Mass Ion Calculations'!$D$5,'Mass Ion Calculations'!$F$18+'AA Exact Masses'!$Q$3-'Mass Ion Calculations'!$E$9-'Mass Ion Calculations'!$E8-'Mass Ion Calculations'!$D$5),IF('Mass Ion Calculations'!$D$7="Yes", 'Mass Ion Calculations'!$D$15+'AA Exact Masses'!$Q$3-'Mass Ion Calculations'!$C$9-'Mass Ion Calculations'!$C8-'Mass Ion Calculations'!$D$5,'Mass Ion Calculations'!$F$15+'AA Exact Masses'!$Q$3-'Mass Ion Calculations'!$E$9-'Mass Ion Calculations'!$E8-'Mass Ion Calculations'!$D$5)))</f>
        <v>461.79398000000015</v>
      </c>
      <c r="H7" s="3">
        <f>IF(OR($B7="",H$3=""),"",IF('Mass Ion Calculations'!$D$6="Yes",IF('Mass Ion Calculations'!$D$7="Yes",'Mass Ion Calculations'!$D$18+'AA Exact Masses'!$Q$3-'Mass Ion Calculations'!$C$10-'Mass Ion Calculations'!$C8-'Mass Ion Calculations'!$D$5,'Mass Ion Calculations'!$F$18+'AA Exact Masses'!$Q$3-'Mass Ion Calculations'!$E$10-'Mass Ion Calculations'!$E8-'Mass Ion Calculations'!$D$5),IF('Mass Ion Calculations'!$D$7="Yes", 'Mass Ion Calculations'!$D$15+'AA Exact Masses'!$Q$3-'Mass Ion Calculations'!$C$10-'Mass Ion Calculations'!$C8-'Mass Ion Calculations'!$D$5,'Mass Ion Calculations'!$F$15+'AA Exact Masses'!$Q$3-'Mass Ion Calculations'!$E$10-'Mass Ion Calculations'!$E8-'Mass Ion Calculations'!$D$5)))</f>
        <v>419.74703000000022</v>
      </c>
      <c r="I7" s="3">
        <f>IF(OR($B7="",I$3=""),"",IF('Mass Ion Calculations'!$D$6="Yes",IF('Mass Ion Calculations'!$D$7="Yes",'Mass Ion Calculations'!$D$18+'AA Exact Masses'!$Q$3-'Mass Ion Calculations'!$C$11-'Mass Ion Calculations'!$C8-'Mass Ion Calculations'!$D$5,'Mass Ion Calculations'!$F$18+'AA Exact Masses'!$Q$3-'Mass Ion Calculations'!$E$11-'Mass Ion Calculations'!$E8-'Mass Ion Calculations'!$D$5),IF('Mass Ion Calculations'!$D$7="Yes", 'Mass Ion Calculations'!$D$15+'AA Exact Masses'!$Q$3-'Mass Ion Calculations'!$C$11-'Mass Ion Calculations'!$C8-'Mass Ion Calculations'!$D$5,'Mass Ion Calculations'!$F$15+'AA Exact Masses'!$Q$3-'Mass Ion Calculations'!$E$11-'Mass Ion Calculations'!$E8-'Mass Ion Calculations'!$D$5)))</f>
        <v>418.75177000000008</v>
      </c>
      <c r="J7" s="3">
        <f>IF(OR($B7="",J$3=""),"",IF('Mass Ion Calculations'!$D$6="Yes",IF('Mass Ion Calculations'!$D$7="Yes",'Mass Ion Calculations'!$D$18+'AA Exact Masses'!$Q$3-'Mass Ion Calculations'!$C$12-'Mass Ion Calculations'!$C8-'Mass Ion Calculations'!$D$5,'Mass Ion Calculations'!$F$18+'AA Exact Masses'!$Q$3-'Mass Ion Calculations'!$E$12-'Mass Ion Calculations'!$E8-'Mass Ion Calculations'!$D$5),IF('Mass Ion Calculations'!$D$7="Yes", 'Mass Ion Calculations'!$D$15+'AA Exact Masses'!$Q$3-'Mass Ion Calculations'!$C$12-'Mass Ion Calculations'!$C8-'Mass Ion Calculations'!$D$5,'Mass Ion Calculations'!$F$15+'AA Exact Masses'!$Q$3-'Mass Ion Calculations'!$E$12-'Mass Ion Calculations'!$E8-'Mass Ion Calculations'!$D$5)))</f>
        <v>433.76268000000005</v>
      </c>
      <c r="K7" s="3">
        <f>IF(OR($B7="",K$3=""),"",IF('Mass Ion Calculations'!$D$6="Yes",IF('Mass Ion Calculations'!$D$7="Yes",'Mass Ion Calculations'!$D$18+'AA Exact Masses'!$Q$3-'Mass Ion Calculations'!$C$13-'Mass Ion Calculations'!$C8-'Mass Ion Calculations'!$D$5,'Mass Ion Calculations'!$F$18+'AA Exact Masses'!$Q$3-'Mass Ion Calculations'!$E$14-'Mass Ion Calculations'!$E8-'Mass Ion Calculations'!$D$5),IF('Mass Ion Calculations'!$D$7="Yes", 'Mass Ion Calculations'!$D$15+'AA Exact Masses'!$Q$3-'Mass Ion Calculations'!$C$13-'Mass Ion Calculations'!$C8-'Mass Ion Calculations'!$D$5,'Mass Ion Calculations'!$F$15+'AA Exact Masses'!$Q$3-'Mass Ion Calculations'!$E$14-'Mass Ion Calculations'!$E8-'Mass Ion Calculations'!$D$5)))</f>
        <v>403.78850000000011</v>
      </c>
      <c r="L7" s="3">
        <f>IF(OR($B7="",L$3=""),"",IF('Mass Ion Calculations'!$D$6="Yes",IF('Mass Ion Calculations'!$D$7="Yes",'Mass Ion Calculations'!$D$18+'AA Exact Masses'!$Q$3-'Mass Ion Calculations'!$C$14-'Mass Ion Calculations'!$C8-'Mass Ion Calculations'!$D$5,'Mass Ion Calculations'!$F$18+'AA Exact Masses'!$Q$3-'Mass Ion Calculations'!$E$15-'Mass Ion Calculations'!$E8-'Mass Ion Calculations'!$D$5),IF('Mass Ion Calculations'!$D$7="Yes", 'Mass Ion Calculations'!$D$15+'AA Exact Masses'!$Q$3-'Mass Ion Calculations'!$C$14-'Mass Ion Calculations'!$C8-'Mass Ion Calculations'!$D$5,'Mass Ion Calculations'!$F$15+'AA Exact Masses'!$Q$3-'Mass Ion Calculations'!$E$15-'Mass Ion Calculations'!$E8-'Mass Ion Calculations'!$D$5)))</f>
        <v>417.80415000000016</v>
      </c>
      <c r="M7" s="3">
        <f>IF(OR($B7="",M$3=""),"",IF('Mass Ion Calculations'!$D$6="Yes",IF('Mass Ion Calculations'!$D$7="Yes",'Mass Ion Calculations'!$D$18+'AA Exact Masses'!$Q$3-'Mass Ion Calculations'!$C$15-'Mass Ion Calculations'!$C8-'Mass Ion Calculations'!$D$5,'Mass Ion Calculations'!$F$18+'AA Exact Masses'!$Q$3-'Mass Ion Calculations'!$E$16-'Mass Ion Calculations'!$E8-'Mass Ion Calculations'!$D$5),IF('Mass Ion Calculations'!$D$7="Yes", 'Mass Ion Calculations'!$D$15+'AA Exact Masses'!$Q$3-'Mass Ion Calculations'!$C$15-'Mass Ion Calculations'!$C8-'Mass Ion Calculations'!$D$5,'Mass Ion Calculations'!$F$15+'AA Exact Masses'!$Q$3-'Mass Ion Calculations'!$E$16-'Mass Ion Calculations'!$E8-'Mass Ion Calculations'!$D$5)))</f>
        <v>461.79398000000015</v>
      </c>
      <c r="N7" s="3">
        <f>IF(OR($B7="",N$3=""),"",IF('Mass Ion Calculations'!$D$6="Yes",IF('Mass Ion Calculations'!$D$7="Yes",'Mass Ion Calculations'!$D$18+'AA Exact Masses'!$Q$3-'Mass Ion Calculations'!$C$16-'Mass Ion Calculations'!$C8-'Mass Ion Calculations'!$D$5,'Mass Ion Calculations'!$F$18+'AA Exact Masses'!$Q$3-'Mass Ion Calculations'!$E$17-'Mass Ion Calculations'!$E8-'Mass Ion Calculations'!$D$5),IF('Mass Ion Calculations'!$D$7="Yes", 'Mass Ion Calculations'!$D$15+'AA Exact Masses'!$Q$3-'Mass Ion Calculations'!$C$16-'Mass Ion Calculations'!$C8-'Mass Ion Calculations'!$D$5,'Mass Ion Calculations'!$F$15+'AA Exact Masses'!$Q$3-'Mass Ion Calculations'!$E$17-'Mass Ion Calculations'!$E8-'Mass Ion Calculations'!$D$5)))</f>
        <v>385.76268000000005</v>
      </c>
      <c r="O7" s="3">
        <f>IF(OR($B7="",O$3=""),"",IF('Mass Ion Calculations'!$D$6="Yes",IF('Mass Ion Calculations'!$D$7="Yes",'Mass Ion Calculations'!$D$18+'AA Exact Masses'!$Q$3-'Mass Ion Calculations'!$C$17-'Mass Ion Calculations'!$C8-'Mass Ion Calculations'!$D$5,'Mass Ion Calculations'!$F$18+'AA Exact Masses'!$Q$3-'Mass Ion Calculations'!$E$18-'Mass Ion Calculations'!$E8-'Mass Ion Calculations'!$D$5),IF('Mass Ion Calculations'!$D$7="Yes", 'Mass Ion Calculations'!$D$15+'AA Exact Masses'!$Q$3-'Mass Ion Calculations'!$C$17-'Mass Ion Calculations'!$C8-'Mass Ion Calculations'!$D$5,'Mass Ion Calculations'!$F$15+'AA Exact Masses'!$Q$3-'Mass Ion Calculations'!$E$18-'Mass Ion Calculations'!$E8-'Mass Ion Calculations'!$D$5)))</f>
        <v>259.86603000000014</v>
      </c>
      <c r="P7" s="3">
        <f>IF(OR($B7="",P$3=""),"",IF('Mass Ion Calculations'!$D$6="Yes",IF('Mass Ion Calculations'!$D$7="Yes",'Mass Ion Calculations'!$D$18+'AA Exact Masses'!$Q$3-'Mass Ion Calculations'!$C$19-'Mass Ion Calculations'!$C8-'Mass Ion Calculations'!$D$5,'Mass Ion Calculations'!$F$18+'AA Exact Masses'!$Q$3-'Mass Ion Calculations'!$E$19-'Mass Ion Calculations'!$E8-'Mass Ion Calculations'!$D$5),IF('Mass Ion Calculations'!$D$7="Yes", 'Mass Ion Calculations'!$D$15+'AA Exact Masses'!$Q$3-'Mass Ion Calculations'!$C$19-'Mass Ion Calculations'!$C8-'Mass Ion Calculations'!$D$5,'Mass Ion Calculations'!$F$15+'AA Exact Masses'!$Q$3-'Mass Ion Calculations'!$E$19-'Mass Ion Calculations'!$E8-'Mass Ion Calculations'!$D$5)))</f>
        <v>433.76268000000005</v>
      </c>
      <c r="Q7" s="3">
        <f>IF(OR($B7="",Q$3=""),"",IF('Mass Ion Calculations'!$D$6="Yes",IF('Mass Ion Calculations'!$D$7="Yes",'Mass Ion Calculations'!$D$18+'AA Exact Masses'!$Q$3-'Mass Ion Calculations'!$C$20-'Mass Ion Calculations'!$C8-'Mass Ion Calculations'!$D$5,'Mass Ion Calculations'!$F$18+'AA Exact Masses'!$Q$3-'Mass Ion Calculations'!$E$20-'Mass Ion Calculations'!$E8-'Mass Ion Calculations'!$D$5),IF('Mass Ion Calculations'!$D$7="Yes", 'Mass Ion Calculations'!$D$15+'AA Exact Masses'!$Q$3-'Mass Ion Calculations'!$C$20-'Mass Ion Calculations'!$C8-'Mass Ion Calculations'!$D$5,'Mass Ion Calculations'!$F$15+'AA Exact Masses'!$Q$3-'Mass Ion Calculations'!$E$20-'Mass Ion Calculations'!$E8-'Mass Ion Calculations'!$D$5)))</f>
        <v>419.74703000000022</v>
      </c>
      <c r="R7" s="3" t="e">
        <f>IF(OR($B7="",R$3=""),"",IF('Mass Ion Calculations'!$D$6="Yes",IF('Mass Ion Calculations'!$D$7="Yes",'Mass Ion Calculations'!$D$18+'AA Exact Masses'!$Q$3-'Mass Ion Calculations'!$C$21-'Mass Ion Calculations'!$C8-'Mass Ion Calculations'!$D$5,'Mass Ion Calculations'!$F$18+'AA Exact Masses'!$Q$3-'Mass Ion Calculations'!$E$21-'Mass Ion Calculations'!$E8-'Mass Ion Calculations'!$D$5),IF('Mass Ion Calculations'!$D$7="Yes", 'Mass Ion Calculations'!$D$15+'AA Exact Masses'!$Q$3-'Mass Ion Calculations'!$C$21-'Mass Ion Calculations'!$C8-'Mass Ion Calculations'!$D$5,'Mass Ion Calculations'!$F$15+'AA Exact Masses'!$Q$3-'Mass Ion Calculations'!$E$21-'Mass Ion Calculations'!$E8-'Mass Ion Calculations'!$D$5)))</f>
        <v>#VALUE!</v>
      </c>
      <c r="S7" s="3" t="str">
        <f>IF(OR($B7="",S$3=""),"",IF('Mass Ion Calculations'!$D$6="Yes",IF('Mass Ion Calculations'!$D$7="Yes",'Mass Ion Calculations'!$D$18+'AA Exact Masses'!$Q$3-'Mass Ion Calculations'!$C$21-'Mass Ion Calculations'!$C8-'Mass Ion Calculations'!$D$5,'Mass Ion Calculations'!$F$18+'AA Exact Masses'!$Q$3-'Mass Ion Calculations'!$E$21-'Mass Ion Calculations'!$E8-'Mass Ion Calculations'!$D$5),IF('Mass Ion Calculations'!$D$7="Yes", 'Mass Ion Calculations'!$D$15+'AA Exact Masses'!$Q$3-'Mass Ion Calculations'!$C$21-'Mass Ion Calculations'!$C8-'Mass Ion Calculations'!$D$5,'Mass Ion Calculations'!$F$15+'AA Exact Masses'!$Q$3-'Mass Ion Calculations'!$E$21-'Mass Ion Calculations'!$E8-'Mass Ion Calculations'!$D$5)))</f>
        <v/>
      </c>
      <c r="T7" s="3" t="e">
        <f>IF(OR($B7="",T$3=""),"",IF('Mass Ion Calculations'!$D$6="Yes",IF('Mass Ion Calculations'!$D$7="Yes",'Mass Ion Calculations'!$D$18+'AA Exact Masses'!$Q$3-'Mass Ion Calculations'!$C$22-'Mass Ion Calculations'!$C8-'Mass Ion Calculations'!$D$5,'Mass Ion Calculations'!$F$18+'AA Exact Masses'!$Q$3-'Mass Ion Calculations'!$E$22-'Mass Ion Calculations'!$E8-'Mass Ion Calculations'!$D$5),IF('Mass Ion Calculations'!$D$7="Yes", 'Mass Ion Calculations'!$D$15+'AA Exact Masses'!$Q$3-'Mass Ion Calculations'!$C$22-'Mass Ion Calculations'!$C8-'Mass Ion Calculations'!$D$5,'Mass Ion Calculations'!$F$15+'AA Exact Masses'!$Q$3-'Mass Ion Calculations'!$E$22-'Mass Ion Calculations'!$E8-'Mass Ion Calculations'!$D$5)))</f>
        <v>#VALUE!</v>
      </c>
      <c r="U7" s="3" t="e">
        <f>IF(OR($B7="",U$3=""),"",IF('Mass Ion Calculations'!$D$6="Yes",IF('Mass Ion Calculations'!$D$7="Yes",'Mass Ion Calculations'!$D$18+'AA Exact Masses'!$Q$3-'Mass Ion Calculations'!$C$23-'Mass Ion Calculations'!$C8-'Mass Ion Calculations'!$D$5,'Mass Ion Calculations'!$F$18+'AA Exact Masses'!$Q$3-'Mass Ion Calculations'!$E$23-'Mass Ion Calculations'!$E8-'Mass Ion Calculations'!$D$5),IF('Mass Ion Calculations'!$D$7="Yes", 'Mass Ion Calculations'!$D$15+'AA Exact Masses'!$Q$3-'Mass Ion Calculations'!$C$23-'Mass Ion Calculations'!$C8-'Mass Ion Calculations'!$D$5,'Mass Ion Calculations'!$F$15+'AA Exact Masses'!$Q$3-'Mass Ion Calculations'!$E$23-'Mass Ion Calculations'!$E8-'Mass Ion Calculations'!$D$5)))</f>
        <v>#VALUE!</v>
      </c>
      <c r="V7" s="3" t="str">
        <f>IF(OR($B7="",V$3=""),"",IF('Mass Ion Calculations'!$D$6="Yes",IF('Mass Ion Calculations'!$D$7="Yes",'Mass Ion Calculations'!$D$18+'AA Exact Masses'!$Q$3-'Mass Ion Calculations'!$C$24-'Mass Ion Calculations'!$C8-'Mass Ion Calculations'!$D$5,'Mass Ion Calculations'!$F$18+'AA Exact Masses'!$Q$3-'Mass Ion Calculations'!$E$24-'Mass Ion Calculations'!$E8-'Mass Ion Calculations'!$D$5),IF('Mass Ion Calculations'!$D$7="Yes", 'Mass Ion Calculations'!$D$15+'AA Exact Masses'!$Q$3-'Mass Ion Calculations'!$C$24-'Mass Ion Calculations'!$C8-'Mass Ion Calculations'!$D$5,'Mass Ion Calculations'!$F$15+'AA Exact Masses'!$Q$3-'Mass Ion Calculations'!$E$24-'Mass Ion Calculations'!$E8-'Mass Ion Calculations'!$D$5)))</f>
        <v/>
      </c>
      <c r="W7" s="3" t="str">
        <f>IF(OR($B7="",W$3=""),"",IF('Mass Ion Calculations'!$D$6="Yes",IF('Mass Ion Calculations'!$D$7="Yes",'Mass Ion Calculations'!$D$18+'AA Exact Masses'!$Q$3-'Mass Ion Calculations'!$C$25-'Mass Ion Calculations'!$C8-'Mass Ion Calculations'!$D$5,'Mass Ion Calculations'!$F$18+'AA Exact Masses'!$Q$3-'Mass Ion Calculations'!$E$25-'Mass Ion Calculations'!$E8-'Mass Ion Calculations'!$D$5),IF('Mass Ion Calculations'!$D$7="Yes", 'Mass Ion Calculations'!$D$15+'AA Exact Masses'!$Q$3-'Mass Ion Calculations'!$C$25-'Mass Ion Calculations'!$C8-'Mass Ion Calculations'!$D$5,'Mass Ion Calculations'!$F$15+'AA Exact Masses'!$Q$3-'Mass Ion Calculations'!$E$25-'Mass Ion Calculations'!$E8-'Mass Ion Calculations'!$D$5)))</f>
        <v/>
      </c>
      <c r="X7" s="3" t="str">
        <f>IF(OR($B7="",X$3=""),"",IF('Mass Ion Calculations'!$D$6="Yes",IF('Mass Ion Calculations'!$D$7="Yes",'Mass Ion Calculations'!$D$18+'AA Exact Masses'!$Q$3-'Mass Ion Calculations'!$C$26-'Mass Ion Calculations'!$C8-'Mass Ion Calculations'!$D$5,'Mass Ion Calculations'!$F$18+'AA Exact Masses'!$Q$3-'Mass Ion Calculations'!$E$26-'Mass Ion Calculations'!$E8-'Mass Ion Calculations'!$D$5),IF('Mass Ion Calculations'!$D$7="Yes", 'Mass Ion Calculations'!$D$15+'AA Exact Masses'!$Q$3-'Mass Ion Calculations'!$C$26-'Mass Ion Calculations'!$C8-'Mass Ion Calculations'!$D$5,'Mass Ion Calculations'!$F$15+'AA Exact Masses'!$Q$3-'Mass Ion Calculations'!$E$26-'Mass Ion Calculations'!$E8-'Mass Ion Calculations'!$D$5)))</f>
        <v/>
      </c>
      <c r="Y7" s="3" t="str">
        <f>IF(OR($B7="",Y$3=""),"",IF('Mass Ion Calculations'!$D$6="Yes",IF('Mass Ion Calculations'!$D$7="Yes",'Mass Ion Calculations'!$D$18+'AA Exact Masses'!$Q$3-'Mass Ion Calculations'!$C$27-'Mass Ion Calculations'!$C8-'Mass Ion Calculations'!$D$5,'Mass Ion Calculations'!$F$18+'AA Exact Masses'!$Q$3-'Mass Ion Calculations'!$E$27-'Mass Ion Calculations'!$E8-'Mass Ion Calculations'!$D$5),IF('Mass Ion Calculations'!$D$7="Yes", 'Mass Ion Calculations'!$D$15+'AA Exact Masses'!$Q$3-'Mass Ion Calculations'!$C$27-'Mass Ion Calculations'!$C8-'Mass Ion Calculations'!$D$5,'Mass Ion Calculations'!$F$15+'AA Exact Masses'!$Q$3-'Mass Ion Calculations'!$E$27-'Mass Ion Calculations'!$E8-'Mass Ion Calculations'!$D$5)))</f>
        <v/>
      </c>
      <c r="Z7" s="3" t="str">
        <f>IF(OR($B7="",Z$3=""),"",IF('Mass Ion Calculations'!$D$6="Yes",IF('Mass Ion Calculations'!$D$7="Yes",'Mass Ion Calculations'!$D$18+'AA Exact Masses'!$Q$3-'Mass Ion Calculations'!$C$28-'Mass Ion Calculations'!$C8-'Mass Ion Calculations'!$D$5,'Mass Ion Calculations'!$F$18+'AA Exact Masses'!$Q$3-'Mass Ion Calculations'!$E$28-'Mass Ion Calculations'!$E8-'Mass Ion Calculations'!$D$5),IF('Mass Ion Calculations'!$D$7="Yes", 'Mass Ion Calculations'!$D$15+'AA Exact Masses'!$Q$3-'Mass Ion Calculations'!$C$28-'Mass Ion Calculations'!$C8-'Mass Ion Calculations'!$D$5,'Mass Ion Calculations'!$F$15+'AA Exact Masses'!$Q$3-'Mass Ion Calculations'!$E$28-'Mass Ion Calculations'!$E8-'Mass Ion Calculations'!$D$5)))</f>
        <v/>
      </c>
    </row>
    <row r="8" spans="2:26" x14ac:dyDescent="0.25">
      <c r="B8" s="4" t="str">
        <f>IF('Mass Ion Calculations'!B9="","",'Mass Ion Calculations'!B9)</f>
        <v>N-Meth-Gly</v>
      </c>
      <c r="C8" s="3">
        <f>IF(OR($B8="",C$3=""),"",IF('Mass Ion Calculations'!$D$6="Yes",IF('Mass Ion Calculations'!$D$7="Yes",'Mass Ion Calculations'!$D$18+'AA Exact Masses'!$Q$3-'Mass Ion Calculations'!$C$5-'Mass Ion Calculations'!$C9-'Mass Ion Calculations'!$D$5,'Mass Ion Calculations'!$F$18+'AA Exact Masses'!$Q$3-'Mass Ion Calculations'!$E$5-'Mass Ion Calculations'!$E9-'Mass Ion Calculations'!$D$5),IF('Mass Ion Calculations'!$D$7="Yes", 'Mass Ion Calculations'!$D$15+'AA Exact Masses'!$Q$3-'Mass Ion Calculations'!$C$5-'Mass Ion Calculations'!$C9-'Mass Ion Calculations'!$D$5,'Mass Ion Calculations'!$F$15+'AA Exact Masses'!$Q$3-'Mass Ion Calculations'!$E$5-'Mass Ion Calculations'!$E9-'Mass Ion Calculations'!$D$5)))</f>
        <v>460.79872</v>
      </c>
      <c r="D8" s="3">
        <f>IF(OR($B8="",D$3=""),"",IF('Mass Ion Calculations'!$D$6="Yes",IF('Mass Ion Calculations'!$D$7="Yes",'Mass Ion Calculations'!$D$18+'AA Exact Masses'!$Q$3-'Mass Ion Calculations'!$C$6-'Mass Ion Calculations'!$C9-'Mass Ion Calculations'!$D$5,'Mass Ion Calculations'!$F$18+'AA Exact Masses'!$Q$3-'Mass Ion Calculations'!$E$6-'Mass Ion Calculations'!$E9-'Mass Ion Calculations'!$D$5),IF('Mass Ion Calculations'!$D$7="Yes", 'Mass Ion Calculations'!$D$15+'AA Exact Masses'!$Q$3-'Mass Ion Calculations'!$C$6-'Mass Ion Calculations'!$C9-'Mass Ion Calculations'!$D$5,'Mass Ion Calculations'!$F$15+'AA Exact Masses'!$Q$3-'Mass Ion Calculations'!$E$6-'Mass Ion Calculations'!$E9-'Mass Ion Calculations'!$D$5)))</f>
        <v>503.84093000000007</v>
      </c>
      <c r="E8" s="3">
        <f>IF(OR($B8="",E$3=""),"",IF('Mass Ion Calculations'!$D$6="Yes",IF('Mass Ion Calculations'!$D$7="Yes",'Mass Ion Calculations'!$D$18+'AA Exact Masses'!$Q$3-'Mass Ion Calculations'!$C$7-'Mass Ion Calculations'!$C9-'Mass Ion Calculations'!$D$5,'Mass Ion Calculations'!$F$18+'AA Exact Masses'!$Q$3-'Mass Ion Calculations'!$E$7-'Mass Ion Calculations'!$E9-'Mass Ion Calculations'!$D$5),IF('Mass Ion Calculations'!$D$7="Yes", 'Mass Ion Calculations'!$D$15+'AA Exact Masses'!$Q$3-'Mass Ion Calculations'!$C$7-'Mass Ion Calculations'!$C9-'Mass Ion Calculations'!$D$5,'Mass Ion Calculations'!$F$15+'AA Exact Masses'!$Q$3-'Mass Ion Calculations'!$E$7-'Mass Ion Calculations'!$E9-'Mass Ion Calculations'!$D$5)))</f>
        <v>461.79398000000015</v>
      </c>
      <c r="F8" s="3">
        <f>IF(OR($B8="",F$3=""),"",IF('Mass Ion Calculations'!$D$6="Yes",IF('Mass Ion Calculations'!$D$7="Yes",'Mass Ion Calculations'!$D$18+'AA Exact Masses'!$Q$3-'Mass Ion Calculations'!$C$8-'Mass Ion Calculations'!$C9-'Mass Ion Calculations'!$D$5,'Mass Ion Calculations'!$F$18+'AA Exact Masses'!$Q$3-'Mass Ion Calculations'!$E$8-'Mass Ion Calculations'!$E9-'Mass Ion Calculations'!$D$5),IF('Mass Ion Calculations'!$D$7="Yes", 'Mass Ion Calculations'!$D$15+'AA Exact Masses'!$Q$3-'Mass Ion Calculations'!$C$8-'Mass Ion Calculations'!$C9-'Mass Ion Calculations'!$D$5,'Mass Ion Calculations'!$F$15+'AA Exact Masses'!$Q$3-'Mass Ion Calculations'!$E$8-'Mass Ion Calculations'!$E9-'Mass Ion Calculations'!$D$5)))</f>
        <v>461.79398000000015</v>
      </c>
      <c r="G8" s="3">
        <f>IF(OR($B8="",G$3=""),"",IF('Mass Ion Calculations'!$D$6="Yes",IF('Mass Ion Calculations'!$D$7="Yes",'Mass Ion Calculations'!$D$18+'AA Exact Masses'!$Q$3-'Mass Ion Calculations'!$C$9-'Mass Ion Calculations'!$C9-'Mass Ion Calculations'!$D$5,'Mass Ion Calculations'!$F$18+'AA Exact Masses'!$Q$3-'Mass Ion Calculations'!$E$9-'Mass Ion Calculations'!$E9-'Mass Ion Calculations'!$D$5),IF('Mass Ion Calculations'!$D$7="Yes", 'Mass Ion Calculations'!$D$15+'AA Exact Masses'!$Q$3-'Mass Ion Calculations'!$C$9-'Mass Ion Calculations'!$C9-'Mass Ion Calculations'!$D$5,'Mass Ion Calculations'!$F$15+'AA Exact Masses'!$Q$3-'Mass Ion Calculations'!$E$9-'Mass Ion Calculations'!$E9-'Mass Ion Calculations'!$D$5)))</f>
        <v>503.84093000000007</v>
      </c>
      <c r="H8" s="3">
        <f>IF(OR($B8="",H$3=""),"",IF('Mass Ion Calculations'!$D$6="Yes",IF('Mass Ion Calculations'!$D$7="Yes",'Mass Ion Calculations'!$D$18+'AA Exact Masses'!$Q$3-'Mass Ion Calculations'!$C$10-'Mass Ion Calculations'!$C9-'Mass Ion Calculations'!$D$5,'Mass Ion Calculations'!$F$18+'AA Exact Masses'!$Q$3-'Mass Ion Calculations'!$E$10-'Mass Ion Calculations'!$E9-'Mass Ion Calculations'!$D$5),IF('Mass Ion Calculations'!$D$7="Yes", 'Mass Ion Calculations'!$D$15+'AA Exact Masses'!$Q$3-'Mass Ion Calculations'!$C$10-'Mass Ion Calculations'!$C9-'Mass Ion Calculations'!$D$5,'Mass Ion Calculations'!$F$15+'AA Exact Masses'!$Q$3-'Mass Ion Calculations'!$E$10-'Mass Ion Calculations'!$E9-'Mass Ion Calculations'!$D$5)))</f>
        <v>461.79398000000015</v>
      </c>
      <c r="I8" s="3">
        <f>IF(OR($B8="",I$3=""),"",IF('Mass Ion Calculations'!$D$6="Yes",IF('Mass Ion Calculations'!$D$7="Yes",'Mass Ion Calculations'!$D$18+'AA Exact Masses'!$Q$3-'Mass Ion Calculations'!$C$11-'Mass Ion Calculations'!$C9-'Mass Ion Calculations'!$D$5,'Mass Ion Calculations'!$F$18+'AA Exact Masses'!$Q$3-'Mass Ion Calculations'!$E$11-'Mass Ion Calculations'!$E9-'Mass Ion Calculations'!$D$5),IF('Mass Ion Calculations'!$D$7="Yes", 'Mass Ion Calculations'!$D$15+'AA Exact Masses'!$Q$3-'Mass Ion Calculations'!$C$11-'Mass Ion Calculations'!$C9-'Mass Ion Calculations'!$D$5,'Mass Ion Calculations'!$F$15+'AA Exact Masses'!$Q$3-'Mass Ion Calculations'!$E$11-'Mass Ion Calculations'!$E9-'Mass Ion Calculations'!$D$5)))</f>
        <v>460.79872</v>
      </c>
      <c r="J8" s="3">
        <f>IF(OR($B8="",J$3=""),"",IF('Mass Ion Calculations'!$D$6="Yes",IF('Mass Ion Calculations'!$D$7="Yes",'Mass Ion Calculations'!$D$18+'AA Exact Masses'!$Q$3-'Mass Ion Calculations'!$C$12-'Mass Ion Calculations'!$C9-'Mass Ion Calculations'!$D$5,'Mass Ion Calculations'!$F$18+'AA Exact Masses'!$Q$3-'Mass Ion Calculations'!$E$12-'Mass Ion Calculations'!$E9-'Mass Ion Calculations'!$D$5),IF('Mass Ion Calculations'!$D$7="Yes", 'Mass Ion Calculations'!$D$15+'AA Exact Masses'!$Q$3-'Mass Ion Calculations'!$C$12-'Mass Ion Calculations'!$C9-'Mass Ion Calculations'!$D$5,'Mass Ion Calculations'!$F$15+'AA Exact Masses'!$Q$3-'Mass Ion Calculations'!$E$12-'Mass Ion Calculations'!$E9-'Mass Ion Calculations'!$D$5)))</f>
        <v>475.80962999999997</v>
      </c>
      <c r="K8" s="3">
        <f>IF(OR($B8="",K$3=""),"",IF('Mass Ion Calculations'!$D$6="Yes",IF('Mass Ion Calculations'!$D$7="Yes",'Mass Ion Calculations'!$D$18+'AA Exact Masses'!$Q$3-'Mass Ion Calculations'!$C$13-'Mass Ion Calculations'!$C9-'Mass Ion Calculations'!$D$5,'Mass Ion Calculations'!$F$18+'AA Exact Masses'!$Q$3-'Mass Ion Calculations'!$E$14-'Mass Ion Calculations'!$E9-'Mass Ion Calculations'!$D$5),IF('Mass Ion Calculations'!$D$7="Yes", 'Mass Ion Calculations'!$D$15+'AA Exact Masses'!$Q$3-'Mass Ion Calculations'!$C$13-'Mass Ion Calculations'!$C9-'Mass Ion Calculations'!$D$5,'Mass Ion Calculations'!$F$15+'AA Exact Masses'!$Q$3-'Mass Ion Calculations'!$E$14-'Mass Ion Calculations'!$E9-'Mass Ion Calculations'!$D$5)))</f>
        <v>445.83545000000004</v>
      </c>
      <c r="L8" s="3">
        <f>IF(OR($B8="",L$3=""),"",IF('Mass Ion Calculations'!$D$6="Yes",IF('Mass Ion Calculations'!$D$7="Yes",'Mass Ion Calculations'!$D$18+'AA Exact Masses'!$Q$3-'Mass Ion Calculations'!$C$14-'Mass Ion Calculations'!$C9-'Mass Ion Calculations'!$D$5,'Mass Ion Calculations'!$F$18+'AA Exact Masses'!$Q$3-'Mass Ion Calculations'!$E$15-'Mass Ion Calculations'!$E9-'Mass Ion Calculations'!$D$5),IF('Mass Ion Calculations'!$D$7="Yes", 'Mass Ion Calculations'!$D$15+'AA Exact Masses'!$Q$3-'Mass Ion Calculations'!$C$14-'Mass Ion Calculations'!$C9-'Mass Ion Calculations'!$D$5,'Mass Ion Calculations'!$F$15+'AA Exact Masses'!$Q$3-'Mass Ion Calculations'!$E$15-'Mass Ion Calculations'!$E9-'Mass Ion Calculations'!$D$5)))</f>
        <v>459.85110000000009</v>
      </c>
      <c r="M8" s="3">
        <f>IF(OR($B8="",M$3=""),"",IF('Mass Ion Calculations'!$D$6="Yes",IF('Mass Ion Calculations'!$D$7="Yes",'Mass Ion Calculations'!$D$18+'AA Exact Masses'!$Q$3-'Mass Ion Calculations'!$C$15-'Mass Ion Calculations'!$C9-'Mass Ion Calculations'!$D$5,'Mass Ion Calculations'!$F$18+'AA Exact Masses'!$Q$3-'Mass Ion Calculations'!$E$16-'Mass Ion Calculations'!$E9-'Mass Ion Calculations'!$D$5),IF('Mass Ion Calculations'!$D$7="Yes", 'Mass Ion Calculations'!$D$15+'AA Exact Masses'!$Q$3-'Mass Ion Calculations'!$C$15-'Mass Ion Calculations'!$C9-'Mass Ion Calculations'!$D$5,'Mass Ion Calculations'!$F$15+'AA Exact Masses'!$Q$3-'Mass Ion Calculations'!$E$16-'Mass Ion Calculations'!$E9-'Mass Ion Calculations'!$D$5)))</f>
        <v>503.84093000000007</v>
      </c>
      <c r="N8" s="3">
        <f>IF(OR($B8="",N$3=""),"",IF('Mass Ion Calculations'!$D$6="Yes",IF('Mass Ion Calculations'!$D$7="Yes",'Mass Ion Calculations'!$D$18+'AA Exact Masses'!$Q$3-'Mass Ion Calculations'!$C$16-'Mass Ion Calculations'!$C9-'Mass Ion Calculations'!$D$5,'Mass Ion Calculations'!$F$18+'AA Exact Masses'!$Q$3-'Mass Ion Calculations'!$E$17-'Mass Ion Calculations'!$E9-'Mass Ion Calculations'!$D$5),IF('Mass Ion Calculations'!$D$7="Yes", 'Mass Ion Calculations'!$D$15+'AA Exact Masses'!$Q$3-'Mass Ion Calculations'!$C$16-'Mass Ion Calculations'!$C9-'Mass Ion Calculations'!$D$5,'Mass Ion Calculations'!$F$15+'AA Exact Masses'!$Q$3-'Mass Ion Calculations'!$E$17-'Mass Ion Calculations'!$E9-'Mass Ion Calculations'!$D$5)))</f>
        <v>427.80962999999997</v>
      </c>
      <c r="O8" s="3">
        <f>IF(OR($B8="",O$3=""),"",IF('Mass Ion Calculations'!$D$6="Yes",IF('Mass Ion Calculations'!$D$7="Yes",'Mass Ion Calculations'!$D$18+'AA Exact Masses'!$Q$3-'Mass Ion Calculations'!$C$17-'Mass Ion Calculations'!$C9-'Mass Ion Calculations'!$D$5,'Mass Ion Calculations'!$F$18+'AA Exact Masses'!$Q$3-'Mass Ion Calculations'!$E$18-'Mass Ion Calculations'!$E9-'Mass Ion Calculations'!$D$5),IF('Mass Ion Calculations'!$D$7="Yes", 'Mass Ion Calculations'!$D$15+'AA Exact Masses'!$Q$3-'Mass Ion Calculations'!$C$17-'Mass Ion Calculations'!$C9-'Mass Ion Calculations'!$D$5,'Mass Ion Calculations'!$F$15+'AA Exact Masses'!$Q$3-'Mass Ion Calculations'!$E$18-'Mass Ion Calculations'!$E9-'Mass Ion Calculations'!$D$5)))</f>
        <v>301.91298000000006</v>
      </c>
      <c r="P8" s="3">
        <f>IF(OR($B8="",P$3=""),"",IF('Mass Ion Calculations'!$D$6="Yes",IF('Mass Ion Calculations'!$D$7="Yes",'Mass Ion Calculations'!$D$18+'AA Exact Masses'!$Q$3-'Mass Ion Calculations'!$C$19-'Mass Ion Calculations'!$C9-'Mass Ion Calculations'!$D$5,'Mass Ion Calculations'!$F$18+'AA Exact Masses'!$Q$3-'Mass Ion Calculations'!$E$19-'Mass Ion Calculations'!$E9-'Mass Ion Calculations'!$D$5),IF('Mass Ion Calculations'!$D$7="Yes", 'Mass Ion Calculations'!$D$15+'AA Exact Masses'!$Q$3-'Mass Ion Calculations'!$C$19-'Mass Ion Calculations'!$C9-'Mass Ion Calculations'!$D$5,'Mass Ion Calculations'!$F$15+'AA Exact Masses'!$Q$3-'Mass Ion Calculations'!$E$19-'Mass Ion Calculations'!$E9-'Mass Ion Calculations'!$D$5)))</f>
        <v>475.80962999999997</v>
      </c>
      <c r="Q8" s="3">
        <f>IF(OR($B8="",Q$3=""),"",IF('Mass Ion Calculations'!$D$6="Yes",IF('Mass Ion Calculations'!$D$7="Yes",'Mass Ion Calculations'!$D$18+'AA Exact Masses'!$Q$3-'Mass Ion Calculations'!$C$20-'Mass Ion Calculations'!$C9-'Mass Ion Calculations'!$D$5,'Mass Ion Calculations'!$F$18+'AA Exact Masses'!$Q$3-'Mass Ion Calculations'!$E$20-'Mass Ion Calculations'!$E9-'Mass Ion Calculations'!$D$5),IF('Mass Ion Calculations'!$D$7="Yes", 'Mass Ion Calculations'!$D$15+'AA Exact Masses'!$Q$3-'Mass Ion Calculations'!$C$20-'Mass Ion Calculations'!$C9-'Mass Ion Calculations'!$D$5,'Mass Ion Calculations'!$F$15+'AA Exact Masses'!$Q$3-'Mass Ion Calculations'!$E$20-'Mass Ion Calculations'!$E9-'Mass Ion Calculations'!$D$5)))</f>
        <v>461.79398000000015</v>
      </c>
      <c r="R8" s="3" t="e">
        <f>IF(OR($B8="",R$3=""),"",IF('Mass Ion Calculations'!$D$6="Yes",IF('Mass Ion Calculations'!$D$7="Yes",'Mass Ion Calculations'!$D$18+'AA Exact Masses'!$Q$3-'Mass Ion Calculations'!$C$21-'Mass Ion Calculations'!$C9-'Mass Ion Calculations'!$D$5,'Mass Ion Calculations'!$F$18+'AA Exact Masses'!$Q$3-'Mass Ion Calculations'!$E$21-'Mass Ion Calculations'!$E9-'Mass Ion Calculations'!$D$5),IF('Mass Ion Calculations'!$D$7="Yes", 'Mass Ion Calculations'!$D$15+'AA Exact Masses'!$Q$3-'Mass Ion Calculations'!$C$21-'Mass Ion Calculations'!$C9-'Mass Ion Calculations'!$D$5,'Mass Ion Calculations'!$F$15+'AA Exact Masses'!$Q$3-'Mass Ion Calculations'!$E$21-'Mass Ion Calculations'!$E9-'Mass Ion Calculations'!$D$5)))</f>
        <v>#VALUE!</v>
      </c>
      <c r="S8" s="3" t="str">
        <f>IF(OR($B8="",S$3=""),"",IF('Mass Ion Calculations'!$D$6="Yes",IF('Mass Ion Calculations'!$D$7="Yes",'Mass Ion Calculations'!$D$18+'AA Exact Masses'!$Q$3-'Mass Ion Calculations'!$C$21-'Mass Ion Calculations'!$C9-'Mass Ion Calculations'!$D$5,'Mass Ion Calculations'!$F$18+'AA Exact Masses'!$Q$3-'Mass Ion Calculations'!$E$21-'Mass Ion Calculations'!$E9-'Mass Ion Calculations'!$D$5),IF('Mass Ion Calculations'!$D$7="Yes", 'Mass Ion Calculations'!$D$15+'AA Exact Masses'!$Q$3-'Mass Ion Calculations'!$C$21-'Mass Ion Calculations'!$C9-'Mass Ion Calculations'!$D$5,'Mass Ion Calculations'!$F$15+'AA Exact Masses'!$Q$3-'Mass Ion Calculations'!$E$21-'Mass Ion Calculations'!$E9-'Mass Ion Calculations'!$D$5)))</f>
        <v/>
      </c>
      <c r="T8" s="3" t="e">
        <f>IF(OR($B8="",T$3=""),"",IF('Mass Ion Calculations'!$D$6="Yes",IF('Mass Ion Calculations'!$D$7="Yes",'Mass Ion Calculations'!$D$18+'AA Exact Masses'!$Q$3-'Mass Ion Calculations'!$C$22-'Mass Ion Calculations'!$C9-'Mass Ion Calculations'!$D$5,'Mass Ion Calculations'!$F$18+'AA Exact Masses'!$Q$3-'Mass Ion Calculations'!$E$22-'Mass Ion Calculations'!$E9-'Mass Ion Calculations'!$D$5),IF('Mass Ion Calculations'!$D$7="Yes", 'Mass Ion Calculations'!$D$15+'AA Exact Masses'!$Q$3-'Mass Ion Calculations'!$C$22-'Mass Ion Calculations'!$C9-'Mass Ion Calculations'!$D$5,'Mass Ion Calculations'!$F$15+'AA Exact Masses'!$Q$3-'Mass Ion Calculations'!$E$22-'Mass Ion Calculations'!$E9-'Mass Ion Calculations'!$D$5)))</f>
        <v>#VALUE!</v>
      </c>
      <c r="U8" s="3" t="e">
        <f>IF(OR($B8="",U$3=""),"",IF('Mass Ion Calculations'!$D$6="Yes",IF('Mass Ion Calculations'!$D$7="Yes",'Mass Ion Calculations'!$D$18+'AA Exact Masses'!$Q$3-'Mass Ion Calculations'!$C$23-'Mass Ion Calculations'!$C9-'Mass Ion Calculations'!$D$5,'Mass Ion Calculations'!$F$18+'AA Exact Masses'!$Q$3-'Mass Ion Calculations'!$E$23-'Mass Ion Calculations'!$E9-'Mass Ion Calculations'!$D$5),IF('Mass Ion Calculations'!$D$7="Yes", 'Mass Ion Calculations'!$D$15+'AA Exact Masses'!$Q$3-'Mass Ion Calculations'!$C$23-'Mass Ion Calculations'!$C9-'Mass Ion Calculations'!$D$5,'Mass Ion Calculations'!$F$15+'AA Exact Masses'!$Q$3-'Mass Ion Calculations'!$E$23-'Mass Ion Calculations'!$E9-'Mass Ion Calculations'!$D$5)))</f>
        <v>#VALUE!</v>
      </c>
      <c r="V8" s="3" t="str">
        <f>IF(OR($B8="",V$3=""),"",IF('Mass Ion Calculations'!$D$6="Yes",IF('Mass Ion Calculations'!$D$7="Yes",'Mass Ion Calculations'!$D$18+'AA Exact Masses'!$Q$3-'Mass Ion Calculations'!$C$24-'Mass Ion Calculations'!$C9-'Mass Ion Calculations'!$D$5,'Mass Ion Calculations'!$F$18+'AA Exact Masses'!$Q$3-'Mass Ion Calculations'!$E$24-'Mass Ion Calculations'!$E9-'Mass Ion Calculations'!$D$5),IF('Mass Ion Calculations'!$D$7="Yes", 'Mass Ion Calculations'!$D$15+'AA Exact Masses'!$Q$3-'Mass Ion Calculations'!$C$24-'Mass Ion Calculations'!$C9-'Mass Ion Calculations'!$D$5,'Mass Ion Calculations'!$F$15+'AA Exact Masses'!$Q$3-'Mass Ion Calculations'!$E$24-'Mass Ion Calculations'!$E9-'Mass Ion Calculations'!$D$5)))</f>
        <v/>
      </c>
      <c r="W8" s="3" t="str">
        <f>IF(OR($B8="",W$3=""),"",IF('Mass Ion Calculations'!$D$6="Yes",IF('Mass Ion Calculations'!$D$7="Yes",'Mass Ion Calculations'!$D$18+'AA Exact Masses'!$Q$3-'Mass Ion Calculations'!$C$25-'Mass Ion Calculations'!$C9-'Mass Ion Calculations'!$D$5,'Mass Ion Calculations'!$F$18+'AA Exact Masses'!$Q$3-'Mass Ion Calculations'!$E$25-'Mass Ion Calculations'!$E9-'Mass Ion Calculations'!$D$5),IF('Mass Ion Calculations'!$D$7="Yes", 'Mass Ion Calculations'!$D$15+'AA Exact Masses'!$Q$3-'Mass Ion Calculations'!$C$25-'Mass Ion Calculations'!$C9-'Mass Ion Calculations'!$D$5,'Mass Ion Calculations'!$F$15+'AA Exact Masses'!$Q$3-'Mass Ion Calculations'!$E$25-'Mass Ion Calculations'!$E9-'Mass Ion Calculations'!$D$5)))</f>
        <v/>
      </c>
      <c r="X8" s="3" t="str">
        <f>IF(OR($B8="",X$3=""),"",IF('Mass Ion Calculations'!$D$6="Yes",IF('Mass Ion Calculations'!$D$7="Yes",'Mass Ion Calculations'!$D$18+'AA Exact Masses'!$Q$3-'Mass Ion Calculations'!$C$26-'Mass Ion Calculations'!$C9-'Mass Ion Calculations'!$D$5,'Mass Ion Calculations'!$F$18+'AA Exact Masses'!$Q$3-'Mass Ion Calculations'!$E$26-'Mass Ion Calculations'!$E9-'Mass Ion Calculations'!$D$5),IF('Mass Ion Calculations'!$D$7="Yes", 'Mass Ion Calculations'!$D$15+'AA Exact Masses'!$Q$3-'Mass Ion Calculations'!$C$26-'Mass Ion Calculations'!$C9-'Mass Ion Calculations'!$D$5,'Mass Ion Calculations'!$F$15+'AA Exact Masses'!$Q$3-'Mass Ion Calculations'!$E$26-'Mass Ion Calculations'!$E9-'Mass Ion Calculations'!$D$5)))</f>
        <v/>
      </c>
      <c r="Y8" s="3" t="str">
        <f>IF(OR($B8="",Y$3=""),"",IF('Mass Ion Calculations'!$D$6="Yes",IF('Mass Ion Calculations'!$D$7="Yes",'Mass Ion Calculations'!$D$18+'AA Exact Masses'!$Q$3-'Mass Ion Calculations'!$C$27-'Mass Ion Calculations'!$C9-'Mass Ion Calculations'!$D$5,'Mass Ion Calculations'!$F$18+'AA Exact Masses'!$Q$3-'Mass Ion Calculations'!$E$27-'Mass Ion Calculations'!$E9-'Mass Ion Calculations'!$D$5),IF('Mass Ion Calculations'!$D$7="Yes", 'Mass Ion Calculations'!$D$15+'AA Exact Masses'!$Q$3-'Mass Ion Calculations'!$C$27-'Mass Ion Calculations'!$C9-'Mass Ion Calculations'!$D$5,'Mass Ion Calculations'!$F$15+'AA Exact Masses'!$Q$3-'Mass Ion Calculations'!$E$27-'Mass Ion Calculations'!$E9-'Mass Ion Calculations'!$D$5)))</f>
        <v/>
      </c>
      <c r="Z8" s="3" t="str">
        <f>IF(OR($B8="",Z$3=""),"",IF('Mass Ion Calculations'!$D$6="Yes",IF('Mass Ion Calculations'!$D$7="Yes",'Mass Ion Calculations'!$D$18+'AA Exact Masses'!$Q$3-'Mass Ion Calculations'!$C$28-'Mass Ion Calculations'!$C9-'Mass Ion Calculations'!$D$5,'Mass Ion Calculations'!$F$18+'AA Exact Masses'!$Q$3-'Mass Ion Calculations'!$E$28-'Mass Ion Calculations'!$E9-'Mass Ion Calculations'!$D$5),IF('Mass Ion Calculations'!$D$7="Yes", 'Mass Ion Calculations'!$D$15+'AA Exact Masses'!$Q$3-'Mass Ion Calculations'!$C$28-'Mass Ion Calculations'!$C9-'Mass Ion Calculations'!$D$5,'Mass Ion Calculations'!$F$15+'AA Exact Masses'!$Q$3-'Mass Ion Calculations'!$E$28-'Mass Ion Calculations'!$E9-'Mass Ion Calculations'!$D$5)))</f>
        <v/>
      </c>
    </row>
    <row r="9" spans="2:26" x14ac:dyDescent="0.25">
      <c r="B9" s="4" t="str">
        <f>IF('Mass Ion Calculations'!B10="","",'Mass Ion Calculations'!B10)</f>
        <v>Leu</v>
      </c>
      <c r="C9" s="3">
        <f>IF(OR($B9="",C$3=""),"",IF('Mass Ion Calculations'!$D$6="Yes",IF('Mass Ion Calculations'!$D$7="Yes",'Mass Ion Calculations'!$D$18+'AA Exact Masses'!$Q$3-'Mass Ion Calculations'!$C$5-'Mass Ion Calculations'!$C10-'Mass Ion Calculations'!$D$5,'Mass Ion Calculations'!$F$18+'AA Exact Masses'!$Q$3-'Mass Ion Calculations'!$E$5-'Mass Ion Calculations'!$E10-'Mass Ion Calculations'!$D$5),IF('Mass Ion Calculations'!$D$7="Yes", 'Mass Ion Calculations'!$D$15+'AA Exact Masses'!$Q$3-'Mass Ion Calculations'!$C$5-'Mass Ion Calculations'!$C10-'Mass Ion Calculations'!$D$5,'Mass Ion Calculations'!$F$15+'AA Exact Masses'!$Q$3-'Mass Ion Calculations'!$E$5-'Mass Ion Calculations'!$E10-'Mass Ion Calculations'!$D$5)))</f>
        <v>418.75177000000008</v>
      </c>
      <c r="D9" s="3">
        <f>IF(OR($B9="",D$3=""),"",IF('Mass Ion Calculations'!$D$6="Yes",IF('Mass Ion Calculations'!$D$7="Yes",'Mass Ion Calculations'!$D$18+'AA Exact Masses'!$Q$3-'Mass Ion Calculations'!$C$6-'Mass Ion Calculations'!$C10-'Mass Ion Calculations'!$D$5,'Mass Ion Calculations'!$F$18+'AA Exact Masses'!$Q$3-'Mass Ion Calculations'!$E$6-'Mass Ion Calculations'!$E10-'Mass Ion Calculations'!$D$5),IF('Mass Ion Calculations'!$D$7="Yes", 'Mass Ion Calculations'!$D$15+'AA Exact Masses'!$Q$3-'Mass Ion Calculations'!$C$6-'Mass Ion Calculations'!$C10-'Mass Ion Calculations'!$D$5,'Mass Ion Calculations'!$F$15+'AA Exact Masses'!$Q$3-'Mass Ion Calculations'!$E$6-'Mass Ion Calculations'!$E10-'Mass Ion Calculations'!$D$5)))</f>
        <v>461.79398000000015</v>
      </c>
      <c r="E9" s="3">
        <f>IF(OR($B9="",E$3=""),"",IF('Mass Ion Calculations'!$D$6="Yes",IF('Mass Ion Calculations'!$D$7="Yes",'Mass Ion Calculations'!$D$18+'AA Exact Masses'!$Q$3-'Mass Ion Calculations'!$C$7-'Mass Ion Calculations'!$C10-'Mass Ion Calculations'!$D$5,'Mass Ion Calculations'!$F$18+'AA Exact Masses'!$Q$3-'Mass Ion Calculations'!$E$7-'Mass Ion Calculations'!$E10-'Mass Ion Calculations'!$D$5),IF('Mass Ion Calculations'!$D$7="Yes", 'Mass Ion Calculations'!$D$15+'AA Exact Masses'!$Q$3-'Mass Ion Calculations'!$C$7-'Mass Ion Calculations'!$C10-'Mass Ion Calculations'!$D$5,'Mass Ion Calculations'!$F$15+'AA Exact Masses'!$Q$3-'Mass Ion Calculations'!$E$7-'Mass Ion Calculations'!$E10-'Mass Ion Calculations'!$D$5)))</f>
        <v>419.74703000000022</v>
      </c>
      <c r="F9" s="3">
        <f>IF(OR($B9="",F$3=""),"",IF('Mass Ion Calculations'!$D$6="Yes",IF('Mass Ion Calculations'!$D$7="Yes",'Mass Ion Calculations'!$D$18+'AA Exact Masses'!$Q$3-'Mass Ion Calculations'!$C$8-'Mass Ion Calculations'!$C10-'Mass Ion Calculations'!$D$5,'Mass Ion Calculations'!$F$18+'AA Exact Masses'!$Q$3-'Mass Ion Calculations'!$E$8-'Mass Ion Calculations'!$E10-'Mass Ion Calculations'!$D$5),IF('Mass Ion Calculations'!$D$7="Yes", 'Mass Ion Calculations'!$D$15+'AA Exact Masses'!$Q$3-'Mass Ion Calculations'!$C$8-'Mass Ion Calculations'!$C10-'Mass Ion Calculations'!$D$5,'Mass Ion Calculations'!$F$15+'AA Exact Masses'!$Q$3-'Mass Ion Calculations'!$E$8-'Mass Ion Calculations'!$E10-'Mass Ion Calculations'!$D$5)))</f>
        <v>419.74703000000022</v>
      </c>
      <c r="G9" s="3">
        <f>IF(OR($B9="",G$3=""),"",IF('Mass Ion Calculations'!$D$6="Yes",IF('Mass Ion Calculations'!$D$7="Yes",'Mass Ion Calculations'!$D$18+'AA Exact Masses'!$Q$3-'Mass Ion Calculations'!$C$9-'Mass Ion Calculations'!$C10-'Mass Ion Calculations'!$D$5,'Mass Ion Calculations'!$F$18+'AA Exact Masses'!$Q$3-'Mass Ion Calculations'!$E$9-'Mass Ion Calculations'!$E10-'Mass Ion Calculations'!$D$5),IF('Mass Ion Calculations'!$D$7="Yes", 'Mass Ion Calculations'!$D$15+'AA Exact Masses'!$Q$3-'Mass Ion Calculations'!$C$9-'Mass Ion Calculations'!$C10-'Mass Ion Calculations'!$D$5,'Mass Ion Calculations'!$F$15+'AA Exact Masses'!$Q$3-'Mass Ion Calculations'!$E$9-'Mass Ion Calculations'!$E10-'Mass Ion Calculations'!$D$5)))</f>
        <v>461.79398000000015</v>
      </c>
      <c r="H9" s="3">
        <f>IF(OR($B9="",H$3=""),"",IF('Mass Ion Calculations'!$D$6="Yes",IF('Mass Ion Calculations'!$D$7="Yes",'Mass Ion Calculations'!$D$18+'AA Exact Masses'!$Q$3-'Mass Ion Calculations'!$C$10-'Mass Ion Calculations'!$C10-'Mass Ion Calculations'!$D$5,'Mass Ion Calculations'!$F$18+'AA Exact Masses'!$Q$3-'Mass Ion Calculations'!$E$10-'Mass Ion Calculations'!$E10-'Mass Ion Calculations'!$D$5),IF('Mass Ion Calculations'!$D$7="Yes", 'Mass Ion Calculations'!$D$15+'AA Exact Masses'!$Q$3-'Mass Ion Calculations'!$C$10-'Mass Ion Calculations'!$C10-'Mass Ion Calculations'!$D$5,'Mass Ion Calculations'!$F$15+'AA Exact Masses'!$Q$3-'Mass Ion Calculations'!$E$10-'Mass Ion Calculations'!$E10-'Mass Ion Calculations'!$D$5)))</f>
        <v>419.74703000000022</v>
      </c>
      <c r="I9" s="3">
        <f>IF(OR($B9="",I$3=""),"",IF('Mass Ion Calculations'!$D$6="Yes",IF('Mass Ion Calculations'!$D$7="Yes",'Mass Ion Calculations'!$D$18+'AA Exact Masses'!$Q$3-'Mass Ion Calculations'!$C$11-'Mass Ion Calculations'!$C10-'Mass Ion Calculations'!$D$5,'Mass Ion Calculations'!$F$18+'AA Exact Masses'!$Q$3-'Mass Ion Calculations'!$E$11-'Mass Ion Calculations'!$E10-'Mass Ion Calculations'!$D$5),IF('Mass Ion Calculations'!$D$7="Yes", 'Mass Ion Calculations'!$D$15+'AA Exact Masses'!$Q$3-'Mass Ion Calculations'!$C$11-'Mass Ion Calculations'!$C10-'Mass Ion Calculations'!$D$5,'Mass Ion Calculations'!$F$15+'AA Exact Masses'!$Q$3-'Mass Ion Calculations'!$E$11-'Mass Ion Calculations'!$E10-'Mass Ion Calculations'!$D$5)))</f>
        <v>418.75177000000008</v>
      </c>
      <c r="J9" s="3">
        <f>IF(OR($B9="",J$3=""),"",IF('Mass Ion Calculations'!$D$6="Yes",IF('Mass Ion Calculations'!$D$7="Yes",'Mass Ion Calculations'!$D$18+'AA Exact Masses'!$Q$3-'Mass Ion Calculations'!$C$12-'Mass Ion Calculations'!$C10-'Mass Ion Calculations'!$D$5,'Mass Ion Calculations'!$F$18+'AA Exact Masses'!$Q$3-'Mass Ion Calculations'!$E$12-'Mass Ion Calculations'!$E10-'Mass Ion Calculations'!$D$5),IF('Mass Ion Calculations'!$D$7="Yes", 'Mass Ion Calculations'!$D$15+'AA Exact Masses'!$Q$3-'Mass Ion Calculations'!$C$12-'Mass Ion Calculations'!$C10-'Mass Ion Calculations'!$D$5,'Mass Ion Calculations'!$F$15+'AA Exact Masses'!$Q$3-'Mass Ion Calculations'!$E$12-'Mass Ion Calculations'!$E10-'Mass Ion Calculations'!$D$5)))</f>
        <v>433.76268000000005</v>
      </c>
      <c r="K9" s="3">
        <f>IF(OR($B9="",K$3=""),"",IF('Mass Ion Calculations'!$D$6="Yes",IF('Mass Ion Calculations'!$D$7="Yes",'Mass Ion Calculations'!$D$18+'AA Exact Masses'!$Q$3-'Mass Ion Calculations'!$C$13-'Mass Ion Calculations'!$C10-'Mass Ion Calculations'!$D$5,'Mass Ion Calculations'!$F$18+'AA Exact Masses'!$Q$3-'Mass Ion Calculations'!$E$14-'Mass Ion Calculations'!$E10-'Mass Ion Calculations'!$D$5),IF('Mass Ion Calculations'!$D$7="Yes", 'Mass Ion Calculations'!$D$15+'AA Exact Masses'!$Q$3-'Mass Ion Calculations'!$C$13-'Mass Ion Calculations'!$C10-'Mass Ion Calculations'!$D$5,'Mass Ion Calculations'!$F$15+'AA Exact Masses'!$Q$3-'Mass Ion Calculations'!$E$14-'Mass Ion Calculations'!$E10-'Mass Ion Calculations'!$D$5)))</f>
        <v>403.78850000000011</v>
      </c>
      <c r="L9" s="3">
        <f>IF(OR($B9="",L$3=""),"",IF('Mass Ion Calculations'!$D$6="Yes",IF('Mass Ion Calculations'!$D$7="Yes",'Mass Ion Calculations'!$D$18+'AA Exact Masses'!$Q$3-'Mass Ion Calculations'!$C$14-'Mass Ion Calculations'!$C10-'Mass Ion Calculations'!$D$5,'Mass Ion Calculations'!$F$18+'AA Exact Masses'!$Q$3-'Mass Ion Calculations'!$E$15-'Mass Ion Calculations'!$E10-'Mass Ion Calculations'!$D$5),IF('Mass Ion Calculations'!$D$7="Yes", 'Mass Ion Calculations'!$D$15+'AA Exact Masses'!$Q$3-'Mass Ion Calculations'!$C$14-'Mass Ion Calculations'!$C10-'Mass Ion Calculations'!$D$5,'Mass Ion Calculations'!$F$15+'AA Exact Masses'!$Q$3-'Mass Ion Calculations'!$E$15-'Mass Ion Calculations'!$E10-'Mass Ion Calculations'!$D$5)))</f>
        <v>417.80415000000016</v>
      </c>
      <c r="M9" s="3">
        <f>IF(OR($B9="",M$3=""),"",IF('Mass Ion Calculations'!$D$6="Yes",IF('Mass Ion Calculations'!$D$7="Yes",'Mass Ion Calculations'!$D$18+'AA Exact Masses'!$Q$3-'Mass Ion Calculations'!$C$15-'Mass Ion Calculations'!$C10-'Mass Ion Calculations'!$D$5,'Mass Ion Calculations'!$F$18+'AA Exact Masses'!$Q$3-'Mass Ion Calculations'!$E$16-'Mass Ion Calculations'!$E10-'Mass Ion Calculations'!$D$5),IF('Mass Ion Calculations'!$D$7="Yes", 'Mass Ion Calculations'!$D$15+'AA Exact Masses'!$Q$3-'Mass Ion Calculations'!$C$15-'Mass Ion Calculations'!$C10-'Mass Ion Calculations'!$D$5,'Mass Ion Calculations'!$F$15+'AA Exact Masses'!$Q$3-'Mass Ion Calculations'!$E$16-'Mass Ion Calculations'!$E10-'Mass Ion Calculations'!$D$5)))</f>
        <v>461.79398000000015</v>
      </c>
      <c r="N9" s="3">
        <f>IF(OR($B9="",N$3=""),"",IF('Mass Ion Calculations'!$D$6="Yes",IF('Mass Ion Calculations'!$D$7="Yes",'Mass Ion Calculations'!$D$18+'AA Exact Masses'!$Q$3-'Mass Ion Calculations'!$C$16-'Mass Ion Calculations'!$C10-'Mass Ion Calculations'!$D$5,'Mass Ion Calculations'!$F$18+'AA Exact Masses'!$Q$3-'Mass Ion Calculations'!$E$17-'Mass Ion Calculations'!$E10-'Mass Ion Calculations'!$D$5),IF('Mass Ion Calculations'!$D$7="Yes", 'Mass Ion Calculations'!$D$15+'AA Exact Masses'!$Q$3-'Mass Ion Calculations'!$C$16-'Mass Ion Calculations'!$C10-'Mass Ion Calculations'!$D$5,'Mass Ion Calculations'!$F$15+'AA Exact Masses'!$Q$3-'Mass Ion Calculations'!$E$17-'Mass Ion Calculations'!$E10-'Mass Ion Calculations'!$D$5)))</f>
        <v>385.76268000000005</v>
      </c>
      <c r="O9" s="3">
        <f>IF(OR($B9="",O$3=""),"",IF('Mass Ion Calculations'!$D$6="Yes",IF('Mass Ion Calculations'!$D$7="Yes",'Mass Ion Calculations'!$D$18+'AA Exact Masses'!$Q$3-'Mass Ion Calculations'!$C$17-'Mass Ion Calculations'!$C10-'Mass Ion Calculations'!$D$5,'Mass Ion Calculations'!$F$18+'AA Exact Masses'!$Q$3-'Mass Ion Calculations'!$E$18-'Mass Ion Calculations'!$E10-'Mass Ion Calculations'!$D$5),IF('Mass Ion Calculations'!$D$7="Yes", 'Mass Ion Calculations'!$D$15+'AA Exact Masses'!$Q$3-'Mass Ion Calculations'!$C$17-'Mass Ion Calculations'!$C10-'Mass Ion Calculations'!$D$5,'Mass Ion Calculations'!$F$15+'AA Exact Masses'!$Q$3-'Mass Ion Calculations'!$E$18-'Mass Ion Calculations'!$E10-'Mass Ion Calculations'!$D$5)))</f>
        <v>259.86603000000014</v>
      </c>
      <c r="P9" s="3">
        <f>IF(OR($B9="",P$3=""),"",IF('Mass Ion Calculations'!$D$6="Yes",IF('Mass Ion Calculations'!$D$7="Yes",'Mass Ion Calculations'!$D$18+'AA Exact Masses'!$Q$3-'Mass Ion Calculations'!$C$19-'Mass Ion Calculations'!$C10-'Mass Ion Calculations'!$D$5,'Mass Ion Calculations'!$F$18+'AA Exact Masses'!$Q$3-'Mass Ion Calculations'!$E$19-'Mass Ion Calculations'!$E10-'Mass Ion Calculations'!$D$5),IF('Mass Ion Calculations'!$D$7="Yes", 'Mass Ion Calculations'!$D$15+'AA Exact Masses'!$Q$3-'Mass Ion Calculations'!$C$19-'Mass Ion Calculations'!$C10-'Mass Ion Calculations'!$D$5,'Mass Ion Calculations'!$F$15+'AA Exact Masses'!$Q$3-'Mass Ion Calculations'!$E$19-'Mass Ion Calculations'!$E10-'Mass Ion Calculations'!$D$5)))</f>
        <v>433.76268000000005</v>
      </c>
      <c r="Q9" s="3">
        <f>IF(OR($B9="",Q$3=""),"",IF('Mass Ion Calculations'!$D$6="Yes",IF('Mass Ion Calculations'!$D$7="Yes",'Mass Ion Calculations'!$D$18+'AA Exact Masses'!$Q$3-'Mass Ion Calculations'!$C$20-'Mass Ion Calculations'!$C10-'Mass Ion Calculations'!$D$5,'Mass Ion Calculations'!$F$18+'AA Exact Masses'!$Q$3-'Mass Ion Calculations'!$E$20-'Mass Ion Calculations'!$E10-'Mass Ion Calculations'!$D$5),IF('Mass Ion Calculations'!$D$7="Yes", 'Mass Ion Calculations'!$D$15+'AA Exact Masses'!$Q$3-'Mass Ion Calculations'!$C$20-'Mass Ion Calculations'!$C10-'Mass Ion Calculations'!$D$5,'Mass Ion Calculations'!$F$15+'AA Exact Masses'!$Q$3-'Mass Ion Calculations'!$E$20-'Mass Ion Calculations'!$E10-'Mass Ion Calculations'!$D$5)))</f>
        <v>419.74703000000022</v>
      </c>
      <c r="R9" s="3" t="e">
        <f>IF(OR($B9="",R$3=""),"",IF('Mass Ion Calculations'!$D$6="Yes",IF('Mass Ion Calculations'!$D$7="Yes",'Mass Ion Calculations'!$D$18+'AA Exact Masses'!$Q$3-'Mass Ion Calculations'!$C$21-'Mass Ion Calculations'!$C10-'Mass Ion Calculations'!$D$5,'Mass Ion Calculations'!$F$18+'AA Exact Masses'!$Q$3-'Mass Ion Calculations'!$E$21-'Mass Ion Calculations'!$E10-'Mass Ion Calculations'!$D$5),IF('Mass Ion Calculations'!$D$7="Yes", 'Mass Ion Calculations'!$D$15+'AA Exact Masses'!$Q$3-'Mass Ion Calculations'!$C$21-'Mass Ion Calculations'!$C10-'Mass Ion Calculations'!$D$5,'Mass Ion Calculations'!$F$15+'AA Exact Masses'!$Q$3-'Mass Ion Calculations'!$E$21-'Mass Ion Calculations'!$E10-'Mass Ion Calculations'!$D$5)))</f>
        <v>#VALUE!</v>
      </c>
      <c r="S9" s="3" t="str">
        <f>IF(OR($B9="",S$3=""),"",IF('Mass Ion Calculations'!$D$6="Yes",IF('Mass Ion Calculations'!$D$7="Yes",'Mass Ion Calculations'!$D$18+'AA Exact Masses'!$Q$3-'Mass Ion Calculations'!$C$21-'Mass Ion Calculations'!$C10-'Mass Ion Calculations'!$D$5,'Mass Ion Calculations'!$F$18+'AA Exact Masses'!$Q$3-'Mass Ion Calculations'!$E$21-'Mass Ion Calculations'!$E10-'Mass Ion Calculations'!$D$5),IF('Mass Ion Calculations'!$D$7="Yes", 'Mass Ion Calculations'!$D$15+'AA Exact Masses'!$Q$3-'Mass Ion Calculations'!$C$21-'Mass Ion Calculations'!$C10-'Mass Ion Calculations'!$D$5,'Mass Ion Calculations'!$F$15+'AA Exact Masses'!$Q$3-'Mass Ion Calculations'!$E$21-'Mass Ion Calculations'!$E10-'Mass Ion Calculations'!$D$5)))</f>
        <v/>
      </c>
      <c r="T9" s="3" t="e">
        <f>IF(OR($B9="",T$3=""),"",IF('Mass Ion Calculations'!$D$6="Yes",IF('Mass Ion Calculations'!$D$7="Yes",'Mass Ion Calculations'!$D$18+'AA Exact Masses'!$Q$3-'Mass Ion Calculations'!$C$22-'Mass Ion Calculations'!$C10-'Mass Ion Calculations'!$D$5,'Mass Ion Calculations'!$F$18+'AA Exact Masses'!$Q$3-'Mass Ion Calculations'!$E$22-'Mass Ion Calculations'!$E10-'Mass Ion Calculations'!$D$5),IF('Mass Ion Calculations'!$D$7="Yes", 'Mass Ion Calculations'!$D$15+'AA Exact Masses'!$Q$3-'Mass Ion Calculations'!$C$22-'Mass Ion Calculations'!$C10-'Mass Ion Calculations'!$D$5,'Mass Ion Calculations'!$F$15+'AA Exact Masses'!$Q$3-'Mass Ion Calculations'!$E$22-'Mass Ion Calculations'!$E10-'Mass Ion Calculations'!$D$5)))</f>
        <v>#VALUE!</v>
      </c>
      <c r="U9" s="3" t="e">
        <f>IF(OR($B9="",U$3=""),"",IF('Mass Ion Calculations'!$D$6="Yes",IF('Mass Ion Calculations'!$D$7="Yes",'Mass Ion Calculations'!$D$18+'AA Exact Masses'!$Q$3-'Mass Ion Calculations'!$C$23-'Mass Ion Calculations'!$C10-'Mass Ion Calculations'!$D$5,'Mass Ion Calculations'!$F$18+'AA Exact Masses'!$Q$3-'Mass Ion Calculations'!$E$23-'Mass Ion Calculations'!$E10-'Mass Ion Calculations'!$D$5),IF('Mass Ion Calculations'!$D$7="Yes", 'Mass Ion Calculations'!$D$15+'AA Exact Masses'!$Q$3-'Mass Ion Calculations'!$C$23-'Mass Ion Calculations'!$C10-'Mass Ion Calculations'!$D$5,'Mass Ion Calculations'!$F$15+'AA Exact Masses'!$Q$3-'Mass Ion Calculations'!$E$23-'Mass Ion Calculations'!$E10-'Mass Ion Calculations'!$D$5)))</f>
        <v>#VALUE!</v>
      </c>
      <c r="V9" s="3" t="str">
        <f>IF(OR($B9="",V$3=""),"",IF('Mass Ion Calculations'!$D$6="Yes",IF('Mass Ion Calculations'!$D$7="Yes",'Mass Ion Calculations'!$D$18+'AA Exact Masses'!$Q$3-'Mass Ion Calculations'!$C$24-'Mass Ion Calculations'!$C10-'Mass Ion Calculations'!$D$5,'Mass Ion Calculations'!$F$18+'AA Exact Masses'!$Q$3-'Mass Ion Calculations'!$E$24-'Mass Ion Calculations'!$E10-'Mass Ion Calculations'!$D$5),IF('Mass Ion Calculations'!$D$7="Yes", 'Mass Ion Calculations'!$D$15+'AA Exact Masses'!$Q$3-'Mass Ion Calculations'!$C$24-'Mass Ion Calculations'!$C10-'Mass Ion Calculations'!$D$5,'Mass Ion Calculations'!$F$15+'AA Exact Masses'!$Q$3-'Mass Ion Calculations'!$E$24-'Mass Ion Calculations'!$E10-'Mass Ion Calculations'!$D$5)))</f>
        <v/>
      </c>
      <c r="W9" s="3" t="str">
        <f>IF(OR($B9="",W$3=""),"",IF('Mass Ion Calculations'!$D$6="Yes",IF('Mass Ion Calculations'!$D$7="Yes",'Mass Ion Calculations'!$D$18+'AA Exact Masses'!$Q$3-'Mass Ion Calculations'!$C$25-'Mass Ion Calculations'!$C10-'Mass Ion Calculations'!$D$5,'Mass Ion Calculations'!$F$18+'AA Exact Masses'!$Q$3-'Mass Ion Calculations'!$E$25-'Mass Ion Calculations'!$E10-'Mass Ion Calculations'!$D$5),IF('Mass Ion Calculations'!$D$7="Yes", 'Mass Ion Calculations'!$D$15+'AA Exact Masses'!$Q$3-'Mass Ion Calculations'!$C$25-'Mass Ion Calculations'!$C10-'Mass Ion Calculations'!$D$5,'Mass Ion Calculations'!$F$15+'AA Exact Masses'!$Q$3-'Mass Ion Calculations'!$E$25-'Mass Ion Calculations'!$E10-'Mass Ion Calculations'!$D$5)))</f>
        <v/>
      </c>
      <c r="X9" s="3" t="str">
        <f>IF(OR($B9="",X$3=""),"",IF('Mass Ion Calculations'!$D$6="Yes",IF('Mass Ion Calculations'!$D$7="Yes",'Mass Ion Calculations'!$D$18+'AA Exact Masses'!$Q$3-'Mass Ion Calculations'!$C$26-'Mass Ion Calculations'!$C10-'Mass Ion Calculations'!$D$5,'Mass Ion Calculations'!$F$18+'AA Exact Masses'!$Q$3-'Mass Ion Calculations'!$E$26-'Mass Ion Calculations'!$E10-'Mass Ion Calculations'!$D$5),IF('Mass Ion Calculations'!$D$7="Yes", 'Mass Ion Calculations'!$D$15+'AA Exact Masses'!$Q$3-'Mass Ion Calculations'!$C$26-'Mass Ion Calculations'!$C10-'Mass Ion Calculations'!$D$5,'Mass Ion Calculations'!$F$15+'AA Exact Masses'!$Q$3-'Mass Ion Calculations'!$E$26-'Mass Ion Calculations'!$E10-'Mass Ion Calculations'!$D$5)))</f>
        <v/>
      </c>
      <c r="Y9" s="3" t="str">
        <f>IF(OR($B9="",Y$3=""),"",IF('Mass Ion Calculations'!$D$6="Yes",IF('Mass Ion Calculations'!$D$7="Yes",'Mass Ion Calculations'!$D$18+'AA Exact Masses'!$Q$3-'Mass Ion Calculations'!$C$27-'Mass Ion Calculations'!$C10-'Mass Ion Calculations'!$D$5,'Mass Ion Calculations'!$F$18+'AA Exact Masses'!$Q$3-'Mass Ion Calculations'!$E$27-'Mass Ion Calculations'!$E10-'Mass Ion Calculations'!$D$5),IF('Mass Ion Calculations'!$D$7="Yes", 'Mass Ion Calculations'!$D$15+'AA Exact Masses'!$Q$3-'Mass Ion Calculations'!$C$27-'Mass Ion Calculations'!$C10-'Mass Ion Calculations'!$D$5,'Mass Ion Calculations'!$F$15+'AA Exact Masses'!$Q$3-'Mass Ion Calculations'!$E$27-'Mass Ion Calculations'!$E10-'Mass Ion Calculations'!$D$5)))</f>
        <v/>
      </c>
      <c r="Z9" s="3" t="str">
        <f>IF(OR($B9="",Z$3=""),"",IF('Mass Ion Calculations'!$D$6="Yes",IF('Mass Ion Calculations'!$D$7="Yes",'Mass Ion Calculations'!$D$18+'AA Exact Masses'!$Q$3-'Mass Ion Calculations'!$C$28-'Mass Ion Calculations'!$C10-'Mass Ion Calculations'!$D$5,'Mass Ion Calculations'!$F$18+'AA Exact Masses'!$Q$3-'Mass Ion Calculations'!$E$28-'Mass Ion Calculations'!$E10-'Mass Ion Calculations'!$D$5),IF('Mass Ion Calculations'!$D$7="Yes", 'Mass Ion Calculations'!$D$15+'AA Exact Masses'!$Q$3-'Mass Ion Calculations'!$C$28-'Mass Ion Calculations'!$C10-'Mass Ion Calculations'!$D$5,'Mass Ion Calculations'!$F$15+'AA Exact Masses'!$Q$3-'Mass Ion Calculations'!$E$28-'Mass Ion Calculations'!$E10-'Mass Ion Calculations'!$D$5)))</f>
        <v/>
      </c>
    </row>
    <row r="10" spans="2:26" x14ac:dyDescent="0.25">
      <c r="B10" s="4" t="str">
        <f>IF('Mass Ion Calculations'!B11="","",'Mass Ion Calculations'!B11)</f>
        <v>Orn(Boc)</v>
      </c>
      <c r="C10" s="3">
        <f>IF(OR($B10="",C$3=""),"",IF('Mass Ion Calculations'!$D$6="Yes",IF('Mass Ion Calculations'!$D$7="Yes",'Mass Ion Calculations'!$D$18+'AA Exact Masses'!$Q$3-'Mass Ion Calculations'!$C$5-'Mass Ion Calculations'!$C11-'Mass Ion Calculations'!$D$5,'Mass Ion Calculations'!$F$18+'AA Exact Masses'!$Q$3-'Mass Ion Calculations'!$E$5-'Mass Ion Calculations'!$E11-'Mass Ion Calculations'!$D$5),IF('Mass Ion Calculations'!$D$7="Yes", 'Mass Ion Calculations'!$D$15+'AA Exact Masses'!$Q$3-'Mass Ion Calculations'!$C$5-'Mass Ion Calculations'!$C11-'Mass Ion Calculations'!$D$5,'Mass Ion Calculations'!$F$15+'AA Exact Masses'!$Q$3-'Mass Ion Calculations'!$E$5-'Mass Ion Calculations'!$E11-'Mass Ion Calculations'!$D$5)))</f>
        <v>417.75650999999993</v>
      </c>
      <c r="D10" s="3">
        <f>IF(OR($B10="",D$3=""),"",IF('Mass Ion Calculations'!$D$6="Yes",IF('Mass Ion Calculations'!$D$7="Yes",'Mass Ion Calculations'!$D$18+'AA Exact Masses'!$Q$3-'Mass Ion Calculations'!$C$6-'Mass Ion Calculations'!$C11-'Mass Ion Calculations'!$D$5,'Mass Ion Calculations'!$F$18+'AA Exact Masses'!$Q$3-'Mass Ion Calculations'!$E$6-'Mass Ion Calculations'!$E11-'Mass Ion Calculations'!$D$5),IF('Mass Ion Calculations'!$D$7="Yes", 'Mass Ion Calculations'!$D$15+'AA Exact Masses'!$Q$3-'Mass Ion Calculations'!$C$6-'Mass Ion Calculations'!$C11-'Mass Ion Calculations'!$D$5,'Mass Ion Calculations'!$F$15+'AA Exact Masses'!$Q$3-'Mass Ion Calculations'!$E$6-'Mass Ion Calculations'!$E11-'Mass Ion Calculations'!$D$5)))</f>
        <v>460.79872</v>
      </c>
      <c r="E10" s="3">
        <f>IF(OR($B10="",E$3=""),"",IF('Mass Ion Calculations'!$D$6="Yes",IF('Mass Ion Calculations'!$D$7="Yes",'Mass Ion Calculations'!$D$18+'AA Exact Masses'!$Q$3-'Mass Ion Calculations'!$C$7-'Mass Ion Calculations'!$C11-'Mass Ion Calculations'!$D$5,'Mass Ion Calculations'!$F$18+'AA Exact Masses'!$Q$3-'Mass Ion Calculations'!$E$7-'Mass Ion Calculations'!$E11-'Mass Ion Calculations'!$D$5),IF('Mass Ion Calculations'!$D$7="Yes", 'Mass Ion Calculations'!$D$15+'AA Exact Masses'!$Q$3-'Mass Ion Calculations'!$C$7-'Mass Ion Calculations'!$C11-'Mass Ion Calculations'!$D$5,'Mass Ion Calculations'!$F$15+'AA Exact Masses'!$Q$3-'Mass Ion Calculations'!$E$7-'Mass Ion Calculations'!$E11-'Mass Ion Calculations'!$D$5)))</f>
        <v>418.75177000000008</v>
      </c>
      <c r="F10" s="3">
        <f>IF(OR($B10="",F$3=""),"",IF('Mass Ion Calculations'!$D$6="Yes",IF('Mass Ion Calculations'!$D$7="Yes",'Mass Ion Calculations'!$D$18+'AA Exact Masses'!$Q$3-'Mass Ion Calculations'!$C$8-'Mass Ion Calculations'!$C11-'Mass Ion Calculations'!$D$5,'Mass Ion Calculations'!$F$18+'AA Exact Masses'!$Q$3-'Mass Ion Calculations'!$E$8-'Mass Ion Calculations'!$E11-'Mass Ion Calculations'!$D$5),IF('Mass Ion Calculations'!$D$7="Yes", 'Mass Ion Calculations'!$D$15+'AA Exact Masses'!$Q$3-'Mass Ion Calculations'!$C$8-'Mass Ion Calculations'!$C11-'Mass Ion Calculations'!$D$5,'Mass Ion Calculations'!$F$15+'AA Exact Masses'!$Q$3-'Mass Ion Calculations'!$E$8-'Mass Ion Calculations'!$E11-'Mass Ion Calculations'!$D$5)))</f>
        <v>418.75177000000008</v>
      </c>
      <c r="G10" s="3">
        <f>IF(OR($B10="",G$3=""),"",IF('Mass Ion Calculations'!$D$6="Yes",IF('Mass Ion Calculations'!$D$7="Yes",'Mass Ion Calculations'!$D$18+'AA Exact Masses'!$Q$3-'Mass Ion Calculations'!$C$9-'Mass Ion Calculations'!$C11-'Mass Ion Calculations'!$D$5,'Mass Ion Calculations'!$F$18+'AA Exact Masses'!$Q$3-'Mass Ion Calculations'!$E$9-'Mass Ion Calculations'!$E11-'Mass Ion Calculations'!$D$5),IF('Mass Ion Calculations'!$D$7="Yes", 'Mass Ion Calculations'!$D$15+'AA Exact Masses'!$Q$3-'Mass Ion Calculations'!$C$9-'Mass Ion Calculations'!$C11-'Mass Ion Calculations'!$D$5,'Mass Ion Calculations'!$F$15+'AA Exact Masses'!$Q$3-'Mass Ion Calculations'!$E$9-'Mass Ion Calculations'!$E11-'Mass Ion Calculations'!$D$5)))</f>
        <v>460.79872</v>
      </c>
      <c r="H10" s="3">
        <f>IF(OR($B10="",H$3=""),"",IF('Mass Ion Calculations'!$D$6="Yes",IF('Mass Ion Calculations'!$D$7="Yes",'Mass Ion Calculations'!$D$18+'AA Exact Masses'!$Q$3-'Mass Ion Calculations'!$C$10-'Mass Ion Calculations'!$C11-'Mass Ion Calculations'!$D$5,'Mass Ion Calculations'!$F$18+'AA Exact Masses'!$Q$3-'Mass Ion Calculations'!$E$10-'Mass Ion Calculations'!$E11-'Mass Ion Calculations'!$D$5),IF('Mass Ion Calculations'!$D$7="Yes", 'Mass Ion Calculations'!$D$15+'AA Exact Masses'!$Q$3-'Mass Ion Calculations'!$C$10-'Mass Ion Calculations'!$C11-'Mass Ion Calculations'!$D$5,'Mass Ion Calculations'!$F$15+'AA Exact Masses'!$Q$3-'Mass Ion Calculations'!$E$10-'Mass Ion Calculations'!$E11-'Mass Ion Calculations'!$D$5)))</f>
        <v>418.75177000000008</v>
      </c>
      <c r="I10" s="3">
        <f>IF(OR($B10="",I$3=""),"",IF('Mass Ion Calculations'!$D$6="Yes",IF('Mass Ion Calculations'!$D$7="Yes",'Mass Ion Calculations'!$D$18+'AA Exact Masses'!$Q$3-'Mass Ion Calculations'!$C$11-'Mass Ion Calculations'!$C11-'Mass Ion Calculations'!$D$5,'Mass Ion Calculations'!$F$18+'AA Exact Masses'!$Q$3-'Mass Ion Calculations'!$E$11-'Mass Ion Calculations'!$E11-'Mass Ion Calculations'!$D$5),IF('Mass Ion Calculations'!$D$7="Yes", 'Mass Ion Calculations'!$D$15+'AA Exact Masses'!$Q$3-'Mass Ion Calculations'!$C$11-'Mass Ion Calculations'!$C11-'Mass Ion Calculations'!$D$5,'Mass Ion Calculations'!$F$15+'AA Exact Masses'!$Q$3-'Mass Ion Calculations'!$E$11-'Mass Ion Calculations'!$E11-'Mass Ion Calculations'!$D$5)))</f>
        <v>417.75650999999993</v>
      </c>
      <c r="J10" s="3">
        <f>IF(OR($B10="",J$3=""),"",IF('Mass Ion Calculations'!$D$6="Yes",IF('Mass Ion Calculations'!$D$7="Yes",'Mass Ion Calculations'!$D$18+'AA Exact Masses'!$Q$3-'Mass Ion Calculations'!$C$12-'Mass Ion Calculations'!$C11-'Mass Ion Calculations'!$D$5,'Mass Ion Calculations'!$F$18+'AA Exact Masses'!$Q$3-'Mass Ion Calculations'!$E$12-'Mass Ion Calculations'!$E11-'Mass Ion Calculations'!$D$5),IF('Mass Ion Calculations'!$D$7="Yes", 'Mass Ion Calculations'!$D$15+'AA Exact Masses'!$Q$3-'Mass Ion Calculations'!$C$12-'Mass Ion Calculations'!$C11-'Mass Ion Calculations'!$D$5,'Mass Ion Calculations'!$F$15+'AA Exact Masses'!$Q$3-'Mass Ion Calculations'!$E$12-'Mass Ion Calculations'!$E11-'Mass Ion Calculations'!$D$5)))</f>
        <v>432.7674199999999</v>
      </c>
      <c r="K10" s="3">
        <f>IF(OR($B10="",K$3=""),"",IF('Mass Ion Calculations'!$D$6="Yes",IF('Mass Ion Calculations'!$D$7="Yes",'Mass Ion Calculations'!$D$18+'AA Exact Masses'!$Q$3-'Mass Ion Calculations'!$C$13-'Mass Ion Calculations'!$C11-'Mass Ion Calculations'!$D$5,'Mass Ion Calculations'!$F$18+'AA Exact Masses'!$Q$3-'Mass Ion Calculations'!$E$14-'Mass Ion Calculations'!$E11-'Mass Ion Calculations'!$D$5),IF('Mass Ion Calculations'!$D$7="Yes", 'Mass Ion Calculations'!$D$15+'AA Exact Masses'!$Q$3-'Mass Ion Calculations'!$C$13-'Mass Ion Calculations'!$C11-'Mass Ion Calculations'!$D$5,'Mass Ion Calculations'!$F$15+'AA Exact Masses'!$Q$3-'Mass Ion Calculations'!$E$14-'Mass Ion Calculations'!$E11-'Mass Ion Calculations'!$D$5)))</f>
        <v>402.79323999999997</v>
      </c>
      <c r="L10" s="3">
        <f>IF(OR($B10="",L$3=""),"",IF('Mass Ion Calculations'!$D$6="Yes",IF('Mass Ion Calculations'!$D$7="Yes",'Mass Ion Calculations'!$D$18+'AA Exact Masses'!$Q$3-'Mass Ion Calculations'!$C$14-'Mass Ion Calculations'!$C11-'Mass Ion Calculations'!$D$5,'Mass Ion Calculations'!$F$18+'AA Exact Masses'!$Q$3-'Mass Ion Calculations'!$E$15-'Mass Ion Calculations'!$E11-'Mass Ion Calculations'!$D$5),IF('Mass Ion Calculations'!$D$7="Yes", 'Mass Ion Calculations'!$D$15+'AA Exact Masses'!$Q$3-'Mass Ion Calculations'!$C$14-'Mass Ion Calculations'!$C11-'Mass Ion Calculations'!$D$5,'Mass Ion Calculations'!$F$15+'AA Exact Masses'!$Q$3-'Mass Ion Calculations'!$E$15-'Mass Ion Calculations'!$E11-'Mass Ion Calculations'!$D$5)))</f>
        <v>416.80889000000002</v>
      </c>
      <c r="M10" s="3">
        <f>IF(OR($B10="",M$3=""),"",IF('Mass Ion Calculations'!$D$6="Yes",IF('Mass Ion Calculations'!$D$7="Yes",'Mass Ion Calculations'!$D$18+'AA Exact Masses'!$Q$3-'Mass Ion Calculations'!$C$15-'Mass Ion Calculations'!$C11-'Mass Ion Calculations'!$D$5,'Mass Ion Calculations'!$F$18+'AA Exact Masses'!$Q$3-'Mass Ion Calculations'!$E$16-'Mass Ion Calculations'!$E11-'Mass Ion Calculations'!$D$5),IF('Mass Ion Calculations'!$D$7="Yes", 'Mass Ion Calculations'!$D$15+'AA Exact Masses'!$Q$3-'Mass Ion Calculations'!$C$15-'Mass Ion Calculations'!$C11-'Mass Ion Calculations'!$D$5,'Mass Ion Calculations'!$F$15+'AA Exact Masses'!$Q$3-'Mass Ion Calculations'!$E$16-'Mass Ion Calculations'!$E11-'Mass Ion Calculations'!$D$5)))</f>
        <v>460.79872</v>
      </c>
      <c r="N10" s="3">
        <f>IF(OR($B10="",N$3=""),"",IF('Mass Ion Calculations'!$D$6="Yes",IF('Mass Ion Calculations'!$D$7="Yes",'Mass Ion Calculations'!$D$18+'AA Exact Masses'!$Q$3-'Mass Ion Calculations'!$C$16-'Mass Ion Calculations'!$C11-'Mass Ion Calculations'!$D$5,'Mass Ion Calculations'!$F$18+'AA Exact Masses'!$Q$3-'Mass Ion Calculations'!$E$17-'Mass Ion Calculations'!$E11-'Mass Ion Calculations'!$D$5),IF('Mass Ion Calculations'!$D$7="Yes", 'Mass Ion Calculations'!$D$15+'AA Exact Masses'!$Q$3-'Mass Ion Calculations'!$C$16-'Mass Ion Calculations'!$C11-'Mass Ion Calculations'!$D$5,'Mass Ion Calculations'!$F$15+'AA Exact Masses'!$Q$3-'Mass Ion Calculations'!$E$17-'Mass Ion Calculations'!$E11-'Mass Ion Calculations'!$D$5)))</f>
        <v>384.7674199999999</v>
      </c>
      <c r="O10" s="3">
        <f>IF(OR($B10="",O$3=""),"",IF('Mass Ion Calculations'!$D$6="Yes",IF('Mass Ion Calculations'!$D$7="Yes",'Mass Ion Calculations'!$D$18+'AA Exact Masses'!$Q$3-'Mass Ion Calculations'!$C$17-'Mass Ion Calculations'!$C11-'Mass Ion Calculations'!$D$5,'Mass Ion Calculations'!$F$18+'AA Exact Masses'!$Q$3-'Mass Ion Calculations'!$E$18-'Mass Ion Calculations'!$E11-'Mass Ion Calculations'!$D$5),IF('Mass Ion Calculations'!$D$7="Yes", 'Mass Ion Calculations'!$D$15+'AA Exact Masses'!$Q$3-'Mass Ion Calculations'!$C$17-'Mass Ion Calculations'!$C11-'Mass Ion Calculations'!$D$5,'Mass Ion Calculations'!$F$15+'AA Exact Masses'!$Q$3-'Mass Ion Calculations'!$E$18-'Mass Ion Calculations'!$E11-'Mass Ion Calculations'!$D$5)))</f>
        <v>258.87076999999999</v>
      </c>
      <c r="P10" s="3">
        <f>IF(OR($B10="",P$3=""),"",IF('Mass Ion Calculations'!$D$6="Yes",IF('Mass Ion Calculations'!$D$7="Yes",'Mass Ion Calculations'!$D$18+'AA Exact Masses'!$Q$3-'Mass Ion Calculations'!$C$19-'Mass Ion Calculations'!$C11-'Mass Ion Calculations'!$D$5,'Mass Ion Calculations'!$F$18+'AA Exact Masses'!$Q$3-'Mass Ion Calculations'!$E$19-'Mass Ion Calculations'!$E11-'Mass Ion Calculations'!$D$5),IF('Mass Ion Calculations'!$D$7="Yes", 'Mass Ion Calculations'!$D$15+'AA Exact Masses'!$Q$3-'Mass Ion Calculations'!$C$19-'Mass Ion Calculations'!$C11-'Mass Ion Calculations'!$D$5,'Mass Ion Calculations'!$F$15+'AA Exact Masses'!$Q$3-'Mass Ion Calculations'!$E$19-'Mass Ion Calculations'!$E11-'Mass Ion Calculations'!$D$5)))</f>
        <v>432.7674199999999</v>
      </c>
      <c r="Q10" s="3">
        <f>IF(OR($B10="",Q$3=""),"",IF('Mass Ion Calculations'!$D$6="Yes",IF('Mass Ion Calculations'!$D$7="Yes",'Mass Ion Calculations'!$D$18+'AA Exact Masses'!$Q$3-'Mass Ion Calculations'!$C$20-'Mass Ion Calculations'!$C11-'Mass Ion Calculations'!$D$5,'Mass Ion Calculations'!$F$18+'AA Exact Masses'!$Q$3-'Mass Ion Calculations'!$E$20-'Mass Ion Calculations'!$E11-'Mass Ion Calculations'!$D$5),IF('Mass Ion Calculations'!$D$7="Yes", 'Mass Ion Calculations'!$D$15+'AA Exact Masses'!$Q$3-'Mass Ion Calculations'!$C$20-'Mass Ion Calculations'!$C11-'Mass Ion Calculations'!$D$5,'Mass Ion Calculations'!$F$15+'AA Exact Masses'!$Q$3-'Mass Ion Calculations'!$E$20-'Mass Ion Calculations'!$E11-'Mass Ion Calculations'!$D$5)))</f>
        <v>418.75177000000008</v>
      </c>
      <c r="R10" s="3" t="e">
        <f>IF(OR($B10="",R$3=""),"",IF('Mass Ion Calculations'!$D$6="Yes",IF('Mass Ion Calculations'!$D$7="Yes",'Mass Ion Calculations'!$D$18+'AA Exact Masses'!$Q$3-'Mass Ion Calculations'!$C$21-'Mass Ion Calculations'!$C11-'Mass Ion Calculations'!$D$5,'Mass Ion Calculations'!$F$18+'AA Exact Masses'!$Q$3-'Mass Ion Calculations'!$E$21-'Mass Ion Calculations'!$E11-'Mass Ion Calculations'!$D$5),IF('Mass Ion Calculations'!$D$7="Yes", 'Mass Ion Calculations'!$D$15+'AA Exact Masses'!$Q$3-'Mass Ion Calculations'!$C$21-'Mass Ion Calculations'!$C11-'Mass Ion Calculations'!$D$5,'Mass Ion Calculations'!$F$15+'AA Exact Masses'!$Q$3-'Mass Ion Calculations'!$E$21-'Mass Ion Calculations'!$E11-'Mass Ion Calculations'!$D$5)))</f>
        <v>#VALUE!</v>
      </c>
      <c r="S10" s="3" t="str">
        <f>IF(OR($B10="",S$3=""),"",IF('Mass Ion Calculations'!$D$6="Yes",IF('Mass Ion Calculations'!$D$7="Yes",'Mass Ion Calculations'!$D$18+'AA Exact Masses'!$Q$3-'Mass Ion Calculations'!$C$21-'Mass Ion Calculations'!$C11-'Mass Ion Calculations'!$D$5,'Mass Ion Calculations'!$F$18+'AA Exact Masses'!$Q$3-'Mass Ion Calculations'!$E$21-'Mass Ion Calculations'!$E11-'Mass Ion Calculations'!$D$5),IF('Mass Ion Calculations'!$D$7="Yes", 'Mass Ion Calculations'!$D$15+'AA Exact Masses'!$Q$3-'Mass Ion Calculations'!$C$21-'Mass Ion Calculations'!$C11-'Mass Ion Calculations'!$D$5,'Mass Ion Calculations'!$F$15+'AA Exact Masses'!$Q$3-'Mass Ion Calculations'!$E$21-'Mass Ion Calculations'!$E11-'Mass Ion Calculations'!$D$5)))</f>
        <v/>
      </c>
      <c r="T10" s="3" t="e">
        <f>IF(OR($B10="",T$3=""),"",IF('Mass Ion Calculations'!$D$6="Yes",IF('Mass Ion Calculations'!$D$7="Yes",'Mass Ion Calculations'!$D$18+'AA Exact Masses'!$Q$3-'Mass Ion Calculations'!$C$22-'Mass Ion Calculations'!$C11-'Mass Ion Calculations'!$D$5,'Mass Ion Calculations'!$F$18+'AA Exact Masses'!$Q$3-'Mass Ion Calculations'!$E$22-'Mass Ion Calculations'!$E11-'Mass Ion Calculations'!$D$5),IF('Mass Ion Calculations'!$D$7="Yes", 'Mass Ion Calculations'!$D$15+'AA Exact Masses'!$Q$3-'Mass Ion Calculations'!$C$22-'Mass Ion Calculations'!$C11-'Mass Ion Calculations'!$D$5,'Mass Ion Calculations'!$F$15+'AA Exact Masses'!$Q$3-'Mass Ion Calculations'!$E$22-'Mass Ion Calculations'!$E11-'Mass Ion Calculations'!$D$5)))</f>
        <v>#VALUE!</v>
      </c>
      <c r="U10" s="3" t="e">
        <f>IF(OR($B10="",U$3=""),"",IF('Mass Ion Calculations'!$D$6="Yes",IF('Mass Ion Calculations'!$D$7="Yes",'Mass Ion Calculations'!$D$18+'AA Exact Masses'!$Q$3-'Mass Ion Calculations'!$C$23-'Mass Ion Calculations'!$C11-'Mass Ion Calculations'!$D$5,'Mass Ion Calculations'!$F$18+'AA Exact Masses'!$Q$3-'Mass Ion Calculations'!$E$23-'Mass Ion Calculations'!$E11-'Mass Ion Calculations'!$D$5),IF('Mass Ion Calculations'!$D$7="Yes", 'Mass Ion Calculations'!$D$15+'AA Exact Masses'!$Q$3-'Mass Ion Calculations'!$C$23-'Mass Ion Calculations'!$C11-'Mass Ion Calculations'!$D$5,'Mass Ion Calculations'!$F$15+'AA Exact Masses'!$Q$3-'Mass Ion Calculations'!$E$23-'Mass Ion Calculations'!$E11-'Mass Ion Calculations'!$D$5)))</f>
        <v>#VALUE!</v>
      </c>
      <c r="V10" s="3" t="str">
        <f>IF(OR($B10="",V$3=""),"",IF('Mass Ion Calculations'!$D$6="Yes",IF('Mass Ion Calculations'!$D$7="Yes",'Mass Ion Calculations'!$D$18+'AA Exact Masses'!$Q$3-'Mass Ion Calculations'!$C$24-'Mass Ion Calculations'!$C11-'Mass Ion Calculations'!$D$5,'Mass Ion Calculations'!$F$18+'AA Exact Masses'!$Q$3-'Mass Ion Calculations'!$E$24-'Mass Ion Calculations'!$E11-'Mass Ion Calculations'!$D$5),IF('Mass Ion Calculations'!$D$7="Yes", 'Mass Ion Calculations'!$D$15+'AA Exact Masses'!$Q$3-'Mass Ion Calculations'!$C$24-'Mass Ion Calculations'!$C11-'Mass Ion Calculations'!$D$5,'Mass Ion Calculations'!$F$15+'AA Exact Masses'!$Q$3-'Mass Ion Calculations'!$E$24-'Mass Ion Calculations'!$E11-'Mass Ion Calculations'!$D$5)))</f>
        <v/>
      </c>
      <c r="W10" s="3" t="str">
        <f>IF(OR($B10="",W$3=""),"",IF('Mass Ion Calculations'!$D$6="Yes",IF('Mass Ion Calculations'!$D$7="Yes",'Mass Ion Calculations'!$D$18+'AA Exact Masses'!$Q$3-'Mass Ion Calculations'!$C$25-'Mass Ion Calculations'!$C11-'Mass Ion Calculations'!$D$5,'Mass Ion Calculations'!$F$18+'AA Exact Masses'!$Q$3-'Mass Ion Calculations'!$E$25-'Mass Ion Calculations'!$E11-'Mass Ion Calculations'!$D$5),IF('Mass Ion Calculations'!$D$7="Yes", 'Mass Ion Calculations'!$D$15+'AA Exact Masses'!$Q$3-'Mass Ion Calculations'!$C$25-'Mass Ion Calculations'!$C11-'Mass Ion Calculations'!$D$5,'Mass Ion Calculations'!$F$15+'AA Exact Masses'!$Q$3-'Mass Ion Calculations'!$E$25-'Mass Ion Calculations'!$E11-'Mass Ion Calculations'!$D$5)))</f>
        <v/>
      </c>
      <c r="X10" s="3" t="str">
        <f>IF(OR($B10="",X$3=""),"",IF('Mass Ion Calculations'!$D$6="Yes",IF('Mass Ion Calculations'!$D$7="Yes",'Mass Ion Calculations'!$D$18+'AA Exact Masses'!$Q$3-'Mass Ion Calculations'!$C$26-'Mass Ion Calculations'!$C11-'Mass Ion Calculations'!$D$5,'Mass Ion Calculations'!$F$18+'AA Exact Masses'!$Q$3-'Mass Ion Calculations'!$E$26-'Mass Ion Calculations'!$E11-'Mass Ion Calculations'!$D$5),IF('Mass Ion Calculations'!$D$7="Yes", 'Mass Ion Calculations'!$D$15+'AA Exact Masses'!$Q$3-'Mass Ion Calculations'!$C$26-'Mass Ion Calculations'!$C11-'Mass Ion Calculations'!$D$5,'Mass Ion Calculations'!$F$15+'AA Exact Masses'!$Q$3-'Mass Ion Calculations'!$E$26-'Mass Ion Calculations'!$E11-'Mass Ion Calculations'!$D$5)))</f>
        <v/>
      </c>
      <c r="Y10" s="3" t="str">
        <f>IF(OR($B10="",Y$3=""),"",IF('Mass Ion Calculations'!$D$6="Yes",IF('Mass Ion Calculations'!$D$7="Yes",'Mass Ion Calculations'!$D$18+'AA Exact Masses'!$Q$3-'Mass Ion Calculations'!$C$27-'Mass Ion Calculations'!$C11-'Mass Ion Calculations'!$D$5,'Mass Ion Calculations'!$F$18+'AA Exact Masses'!$Q$3-'Mass Ion Calculations'!$E$27-'Mass Ion Calculations'!$E11-'Mass Ion Calculations'!$D$5),IF('Mass Ion Calculations'!$D$7="Yes", 'Mass Ion Calculations'!$D$15+'AA Exact Masses'!$Q$3-'Mass Ion Calculations'!$C$27-'Mass Ion Calculations'!$C11-'Mass Ion Calculations'!$D$5,'Mass Ion Calculations'!$F$15+'AA Exact Masses'!$Q$3-'Mass Ion Calculations'!$E$27-'Mass Ion Calculations'!$E11-'Mass Ion Calculations'!$D$5)))</f>
        <v/>
      </c>
      <c r="Z10" s="3" t="str">
        <f>IF(OR($B10="",Z$3=""),"",IF('Mass Ion Calculations'!$D$6="Yes",IF('Mass Ion Calculations'!$D$7="Yes",'Mass Ion Calculations'!$D$18+'AA Exact Masses'!$Q$3-'Mass Ion Calculations'!$C$28-'Mass Ion Calculations'!$C11-'Mass Ion Calculations'!$D$5,'Mass Ion Calculations'!$F$18+'AA Exact Masses'!$Q$3-'Mass Ion Calculations'!$E$28-'Mass Ion Calculations'!$E11-'Mass Ion Calculations'!$D$5),IF('Mass Ion Calculations'!$D$7="Yes", 'Mass Ion Calculations'!$D$15+'AA Exact Masses'!$Q$3-'Mass Ion Calculations'!$C$28-'Mass Ion Calculations'!$C11-'Mass Ion Calculations'!$D$5,'Mass Ion Calculations'!$F$15+'AA Exact Masses'!$Q$3-'Mass Ion Calculations'!$E$28-'Mass Ion Calculations'!$E11-'Mass Ion Calculations'!$D$5)))</f>
        <v/>
      </c>
    </row>
    <row r="11" spans="2:26" x14ac:dyDescent="0.25">
      <c r="B11" s="4" t="str">
        <f>IF('Mass Ion Calculations'!B12="","",'Mass Ion Calculations'!B12)</f>
        <v>Val</v>
      </c>
      <c r="C11" s="3">
        <f>IF(OR($B11="",C$3=""),"",IF('Mass Ion Calculations'!$D$6="Yes",IF('Mass Ion Calculations'!$D$7="Yes",'Mass Ion Calculations'!$D$18+'AA Exact Masses'!$Q$3-'Mass Ion Calculations'!$C$5-'Mass Ion Calculations'!$C12-'Mass Ion Calculations'!$D$5,'Mass Ion Calculations'!$F$18+'AA Exact Masses'!$Q$3-'Mass Ion Calculations'!$E$5-'Mass Ion Calculations'!$E12-'Mass Ion Calculations'!$D$5),IF('Mass Ion Calculations'!$D$7="Yes", 'Mass Ion Calculations'!$D$15+'AA Exact Masses'!$Q$3-'Mass Ion Calculations'!$C$5-'Mass Ion Calculations'!$C12-'Mass Ion Calculations'!$D$5,'Mass Ion Calculations'!$F$15+'AA Exact Masses'!$Q$3-'Mass Ion Calculations'!$E$5-'Mass Ion Calculations'!$E12-'Mass Ion Calculations'!$D$5)))</f>
        <v>432.7674199999999</v>
      </c>
      <c r="D11" s="3">
        <f>IF(OR($B11="",D$3=""),"",IF('Mass Ion Calculations'!$D$6="Yes",IF('Mass Ion Calculations'!$D$7="Yes",'Mass Ion Calculations'!$D$18+'AA Exact Masses'!$Q$3-'Mass Ion Calculations'!$C$6-'Mass Ion Calculations'!$C12-'Mass Ion Calculations'!$D$5,'Mass Ion Calculations'!$F$18+'AA Exact Masses'!$Q$3-'Mass Ion Calculations'!$E$6-'Mass Ion Calculations'!$E12-'Mass Ion Calculations'!$D$5),IF('Mass Ion Calculations'!$D$7="Yes", 'Mass Ion Calculations'!$D$15+'AA Exact Masses'!$Q$3-'Mass Ion Calculations'!$C$6-'Mass Ion Calculations'!$C12-'Mass Ion Calculations'!$D$5,'Mass Ion Calculations'!$F$15+'AA Exact Masses'!$Q$3-'Mass Ion Calculations'!$E$6-'Mass Ion Calculations'!$E12-'Mass Ion Calculations'!$D$5)))</f>
        <v>475.80962999999997</v>
      </c>
      <c r="E11" s="3">
        <f>IF(OR($B11="",E$3=""),"",IF('Mass Ion Calculations'!$D$6="Yes",IF('Mass Ion Calculations'!$D$7="Yes",'Mass Ion Calculations'!$D$18+'AA Exact Masses'!$Q$3-'Mass Ion Calculations'!$C$7-'Mass Ion Calculations'!$C12-'Mass Ion Calculations'!$D$5,'Mass Ion Calculations'!$F$18+'AA Exact Masses'!$Q$3-'Mass Ion Calculations'!$E$7-'Mass Ion Calculations'!$E12-'Mass Ion Calculations'!$D$5),IF('Mass Ion Calculations'!$D$7="Yes", 'Mass Ion Calculations'!$D$15+'AA Exact Masses'!$Q$3-'Mass Ion Calculations'!$C$7-'Mass Ion Calculations'!$C12-'Mass Ion Calculations'!$D$5,'Mass Ion Calculations'!$F$15+'AA Exact Masses'!$Q$3-'Mass Ion Calculations'!$E$7-'Mass Ion Calculations'!$E12-'Mass Ion Calculations'!$D$5)))</f>
        <v>433.76268000000005</v>
      </c>
      <c r="F11" s="3">
        <f>IF(OR($B11="",F$3=""),"",IF('Mass Ion Calculations'!$D$6="Yes",IF('Mass Ion Calculations'!$D$7="Yes",'Mass Ion Calculations'!$D$18+'AA Exact Masses'!$Q$3-'Mass Ion Calculations'!$C$8-'Mass Ion Calculations'!$C12-'Mass Ion Calculations'!$D$5,'Mass Ion Calculations'!$F$18+'AA Exact Masses'!$Q$3-'Mass Ion Calculations'!$E$8-'Mass Ion Calculations'!$E12-'Mass Ion Calculations'!$D$5),IF('Mass Ion Calculations'!$D$7="Yes", 'Mass Ion Calculations'!$D$15+'AA Exact Masses'!$Q$3-'Mass Ion Calculations'!$C$8-'Mass Ion Calculations'!$C12-'Mass Ion Calculations'!$D$5,'Mass Ion Calculations'!$F$15+'AA Exact Masses'!$Q$3-'Mass Ion Calculations'!$E$8-'Mass Ion Calculations'!$E12-'Mass Ion Calculations'!$D$5)))</f>
        <v>433.76268000000005</v>
      </c>
      <c r="G11" s="3">
        <f>IF(OR($B11="",G$3=""),"",IF('Mass Ion Calculations'!$D$6="Yes",IF('Mass Ion Calculations'!$D$7="Yes",'Mass Ion Calculations'!$D$18+'AA Exact Masses'!$Q$3-'Mass Ion Calculations'!$C$9-'Mass Ion Calculations'!$C12-'Mass Ion Calculations'!$D$5,'Mass Ion Calculations'!$F$18+'AA Exact Masses'!$Q$3-'Mass Ion Calculations'!$E$9-'Mass Ion Calculations'!$E12-'Mass Ion Calculations'!$D$5),IF('Mass Ion Calculations'!$D$7="Yes", 'Mass Ion Calculations'!$D$15+'AA Exact Masses'!$Q$3-'Mass Ion Calculations'!$C$9-'Mass Ion Calculations'!$C12-'Mass Ion Calculations'!$D$5,'Mass Ion Calculations'!$F$15+'AA Exact Masses'!$Q$3-'Mass Ion Calculations'!$E$9-'Mass Ion Calculations'!$E12-'Mass Ion Calculations'!$D$5)))</f>
        <v>475.80962999999997</v>
      </c>
      <c r="H11" s="3">
        <f>IF(OR($B11="",H$3=""),"",IF('Mass Ion Calculations'!$D$6="Yes",IF('Mass Ion Calculations'!$D$7="Yes",'Mass Ion Calculations'!$D$18+'AA Exact Masses'!$Q$3-'Mass Ion Calculations'!$C$10-'Mass Ion Calculations'!$C12-'Mass Ion Calculations'!$D$5,'Mass Ion Calculations'!$F$18+'AA Exact Masses'!$Q$3-'Mass Ion Calculations'!$E$10-'Mass Ion Calculations'!$E12-'Mass Ion Calculations'!$D$5),IF('Mass Ion Calculations'!$D$7="Yes", 'Mass Ion Calculations'!$D$15+'AA Exact Masses'!$Q$3-'Mass Ion Calculations'!$C$10-'Mass Ion Calculations'!$C12-'Mass Ion Calculations'!$D$5,'Mass Ion Calculations'!$F$15+'AA Exact Masses'!$Q$3-'Mass Ion Calculations'!$E$10-'Mass Ion Calculations'!$E12-'Mass Ion Calculations'!$D$5)))</f>
        <v>433.76268000000005</v>
      </c>
      <c r="I11" s="3">
        <f>IF(OR($B11="",I$3=""),"",IF('Mass Ion Calculations'!$D$6="Yes",IF('Mass Ion Calculations'!$D$7="Yes",'Mass Ion Calculations'!$D$18+'AA Exact Masses'!$Q$3-'Mass Ion Calculations'!$C$11-'Mass Ion Calculations'!$C12-'Mass Ion Calculations'!$D$5,'Mass Ion Calculations'!$F$18+'AA Exact Masses'!$Q$3-'Mass Ion Calculations'!$E$11-'Mass Ion Calculations'!$E12-'Mass Ion Calculations'!$D$5),IF('Mass Ion Calculations'!$D$7="Yes", 'Mass Ion Calculations'!$D$15+'AA Exact Masses'!$Q$3-'Mass Ion Calculations'!$C$11-'Mass Ion Calculations'!$C12-'Mass Ion Calculations'!$D$5,'Mass Ion Calculations'!$F$15+'AA Exact Masses'!$Q$3-'Mass Ion Calculations'!$E$11-'Mass Ion Calculations'!$E12-'Mass Ion Calculations'!$D$5)))</f>
        <v>432.7674199999999</v>
      </c>
      <c r="J11" s="3">
        <f>IF(OR($B11="",J$3=""),"",IF('Mass Ion Calculations'!$D$6="Yes",IF('Mass Ion Calculations'!$D$7="Yes",'Mass Ion Calculations'!$D$18+'AA Exact Masses'!$Q$3-'Mass Ion Calculations'!$C$12-'Mass Ion Calculations'!$C12-'Mass Ion Calculations'!$D$5,'Mass Ion Calculations'!$F$18+'AA Exact Masses'!$Q$3-'Mass Ion Calculations'!$E$12-'Mass Ion Calculations'!$E12-'Mass Ion Calculations'!$D$5),IF('Mass Ion Calculations'!$D$7="Yes", 'Mass Ion Calculations'!$D$15+'AA Exact Masses'!$Q$3-'Mass Ion Calculations'!$C$12-'Mass Ion Calculations'!$C12-'Mass Ion Calculations'!$D$5,'Mass Ion Calculations'!$F$15+'AA Exact Masses'!$Q$3-'Mass Ion Calculations'!$E$12-'Mass Ion Calculations'!$E12-'Mass Ion Calculations'!$D$5)))</f>
        <v>447.77832999999987</v>
      </c>
      <c r="K11" s="3">
        <f>IF(OR($B11="",K$3=""),"",IF('Mass Ion Calculations'!$D$6="Yes",IF('Mass Ion Calculations'!$D$7="Yes",'Mass Ion Calculations'!$D$18+'AA Exact Masses'!$Q$3-'Mass Ion Calculations'!$C$13-'Mass Ion Calculations'!$C12-'Mass Ion Calculations'!$D$5,'Mass Ion Calculations'!$F$18+'AA Exact Masses'!$Q$3-'Mass Ion Calculations'!$E$14-'Mass Ion Calculations'!$E12-'Mass Ion Calculations'!$D$5),IF('Mass Ion Calculations'!$D$7="Yes", 'Mass Ion Calculations'!$D$15+'AA Exact Masses'!$Q$3-'Mass Ion Calculations'!$C$13-'Mass Ion Calculations'!$C12-'Mass Ion Calculations'!$D$5,'Mass Ion Calculations'!$F$15+'AA Exact Masses'!$Q$3-'Mass Ion Calculations'!$E$14-'Mass Ion Calculations'!$E12-'Mass Ion Calculations'!$D$5)))</f>
        <v>417.80414999999994</v>
      </c>
      <c r="L11" s="3">
        <f>IF(OR($B11="",L$3=""),"",IF('Mass Ion Calculations'!$D$6="Yes",IF('Mass Ion Calculations'!$D$7="Yes",'Mass Ion Calculations'!$D$18+'AA Exact Masses'!$Q$3-'Mass Ion Calculations'!$C$14-'Mass Ion Calculations'!$C12-'Mass Ion Calculations'!$D$5,'Mass Ion Calculations'!$F$18+'AA Exact Masses'!$Q$3-'Mass Ion Calculations'!$E$15-'Mass Ion Calculations'!$E12-'Mass Ion Calculations'!$D$5),IF('Mass Ion Calculations'!$D$7="Yes", 'Mass Ion Calculations'!$D$15+'AA Exact Masses'!$Q$3-'Mass Ion Calculations'!$C$14-'Mass Ion Calculations'!$C12-'Mass Ion Calculations'!$D$5,'Mass Ion Calculations'!$F$15+'AA Exact Masses'!$Q$3-'Mass Ion Calculations'!$E$15-'Mass Ion Calculations'!$E12-'Mass Ion Calculations'!$D$5)))</f>
        <v>431.81979999999999</v>
      </c>
      <c r="M11" s="3">
        <f>IF(OR($B11="",M$3=""),"",IF('Mass Ion Calculations'!$D$6="Yes",IF('Mass Ion Calculations'!$D$7="Yes",'Mass Ion Calculations'!$D$18+'AA Exact Masses'!$Q$3-'Mass Ion Calculations'!$C$15-'Mass Ion Calculations'!$C12-'Mass Ion Calculations'!$D$5,'Mass Ion Calculations'!$F$18+'AA Exact Masses'!$Q$3-'Mass Ion Calculations'!$E$16-'Mass Ion Calculations'!$E12-'Mass Ion Calculations'!$D$5),IF('Mass Ion Calculations'!$D$7="Yes", 'Mass Ion Calculations'!$D$15+'AA Exact Masses'!$Q$3-'Mass Ion Calculations'!$C$15-'Mass Ion Calculations'!$C12-'Mass Ion Calculations'!$D$5,'Mass Ion Calculations'!$F$15+'AA Exact Masses'!$Q$3-'Mass Ion Calculations'!$E$16-'Mass Ion Calculations'!$E12-'Mass Ion Calculations'!$D$5)))</f>
        <v>475.80962999999997</v>
      </c>
      <c r="N11" s="3">
        <f>IF(OR($B11="",N$3=""),"",IF('Mass Ion Calculations'!$D$6="Yes",IF('Mass Ion Calculations'!$D$7="Yes",'Mass Ion Calculations'!$D$18+'AA Exact Masses'!$Q$3-'Mass Ion Calculations'!$C$16-'Mass Ion Calculations'!$C12-'Mass Ion Calculations'!$D$5,'Mass Ion Calculations'!$F$18+'AA Exact Masses'!$Q$3-'Mass Ion Calculations'!$E$17-'Mass Ion Calculations'!$E12-'Mass Ion Calculations'!$D$5),IF('Mass Ion Calculations'!$D$7="Yes", 'Mass Ion Calculations'!$D$15+'AA Exact Masses'!$Q$3-'Mass Ion Calculations'!$C$16-'Mass Ion Calculations'!$C12-'Mass Ion Calculations'!$D$5,'Mass Ion Calculations'!$F$15+'AA Exact Masses'!$Q$3-'Mass Ion Calculations'!$E$17-'Mass Ion Calculations'!$E12-'Mass Ion Calculations'!$D$5)))</f>
        <v>399.77832999999987</v>
      </c>
      <c r="O11" s="3">
        <f>IF(OR($B11="",O$3=""),"",IF('Mass Ion Calculations'!$D$6="Yes",IF('Mass Ion Calculations'!$D$7="Yes",'Mass Ion Calculations'!$D$18+'AA Exact Masses'!$Q$3-'Mass Ion Calculations'!$C$17-'Mass Ion Calculations'!$C12-'Mass Ion Calculations'!$D$5,'Mass Ion Calculations'!$F$18+'AA Exact Masses'!$Q$3-'Mass Ion Calculations'!$E$18-'Mass Ion Calculations'!$E12-'Mass Ion Calculations'!$D$5),IF('Mass Ion Calculations'!$D$7="Yes", 'Mass Ion Calculations'!$D$15+'AA Exact Masses'!$Q$3-'Mass Ion Calculations'!$C$17-'Mass Ion Calculations'!$C12-'Mass Ion Calculations'!$D$5,'Mass Ion Calculations'!$F$15+'AA Exact Masses'!$Q$3-'Mass Ion Calculations'!$E$18-'Mass Ion Calculations'!$E12-'Mass Ion Calculations'!$D$5)))</f>
        <v>273.88167999999996</v>
      </c>
      <c r="P11" s="3">
        <f>IF(OR($B11="",P$3=""),"",IF('Mass Ion Calculations'!$D$6="Yes",IF('Mass Ion Calculations'!$D$7="Yes",'Mass Ion Calculations'!$D$18+'AA Exact Masses'!$Q$3-'Mass Ion Calculations'!$C$19-'Mass Ion Calculations'!$C12-'Mass Ion Calculations'!$D$5,'Mass Ion Calculations'!$F$18+'AA Exact Masses'!$Q$3-'Mass Ion Calculations'!$E$19-'Mass Ion Calculations'!$E12-'Mass Ion Calculations'!$D$5),IF('Mass Ion Calculations'!$D$7="Yes", 'Mass Ion Calculations'!$D$15+'AA Exact Masses'!$Q$3-'Mass Ion Calculations'!$C$19-'Mass Ion Calculations'!$C12-'Mass Ion Calculations'!$D$5,'Mass Ion Calculations'!$F$15+'AA Exact Masses'!$Q$3-'Mass Ion Calculations'!$E$19-'Mass Ion Calculations'!$E12-'Mass Ion Calculations'!$D$5)))</f>
        <v>447.77832999999987</v>
      </c>
      <c r="Q11" s="3">
        <f>IF(OR($B11="",Q$3=""),"",IF('Mass Ion Calculations'!$D$6="Yes",IF('Mass Ion Calculations'!$D$7="Yes",'Mass Ion Calculations'!$D$18+'AA Exact Masses'!$Q$3-'Mass Ion Calculations'!$C$20-'Mass Ion Calculations'!$C12-'Mass Ion Calculations'!$D$5,'Mass Ion Calculations'!$F$18+'AA Exact Masses'!$Q$3-'Mass Ion Calculations'!$E$20-'Mass Ion Calculations'!$E12-'Mass Ion Calculations'!$D$5),IF('Mass Ion Calculations'!$D$7="Yes", 'Mass Ion Calculations'!$D$15+'AA Exact Masses'!$Q$3-'Mass Ion Calculations'!$C$20-'Mass Ion Calculations'!$C12-'Mass Ion Calculations'!$D$5,'Mass Ion Calculations'!$F$15+'AA Exact Masses'!$Q$3-'Mass Ion Calculations'!$E$20-'Mass Ion Calculations'!$E12-'Mass Ion Calculations'!$D$5)))</f>
        <v>433.76268000000005</v>
      </c>
      <c r="R11" s="3" t="e">
        <f>IF(OR($B11="",R$3=""),"",IF('Mass Ion Calculations'!$D$6="Yes",IF('Mass Ion Calculations'!$D$7="Yes",'Mass Ion Calculations'!$D$18+'AA Exact Masses'!$Q$3-'Mass Ion Calculations'!$C$21-'Mass Ion Calculations'!$C12-'Mass Ion Calculations'!$D$5,'Mass Ion Calculations'!$F$18+'AA Exact Masses'!$Q$3-'Mass Ion Calculations'!$E$21-'Mass Ion Calculations'!$E12-'Mass Ion Calculations'!$D$5),IF('Mass Ion Calculations'!$D$7="Yes", 'Mass Ion Calculations'!$D$15+'AA Exact Masses'!$Q$3-'Mass Ion Calculations'!$C$21-'Mass Ion Calculations'!$C12-'Mass Ion Calculations'!$D$5,'Mass Ion Calculations'!$F$15+'AA Exact Masses'!$Q$3-'Mass Ion Calculations'!$E$21-'Mass Ion Calculations'!$E12-'Mass Ion Calculations'!$D$5)))</f>
        <v>#VALUE!</v>
      </c>
      <c r="S11" s="3" t="str">
        <f>IF(OR($B11="",S$3=""),"",IF('Mass Ion Calculations'!$D$6="Yes",IF('Mass Ion Calculations'!$D$7="Yes",'Mass Ion Calculations'!$D$18+'AA Exact Masses'!$Q$3-'Mass Ion Calculations'!$C$21-'Mass Ion Calculations'!$C12-'Mass Ion Calculations'!$D$5,'Mass Ion Calculations'!$F$18+'AA Exact Masses'!$Q$3-'Mass Ion Calculations'!$E$21-'Mass Ion Calculations'!$E12-'Mass Ion Calculations'!$D$5),IF('Mass Ion Calculations'!$D$7="Yes", 'Mass Ion Calculations'!$D$15+'AA Exact Masses'!$Q$3-'Mass Ion Calculations'!$C$21-'Mass Ion Calculations'!$C12-'Mass Ion Calculations'!$D$5,'Mass Ion Calculations'!$F$15+'AA Exact Masses'!$Q$3-'Mass Ion Calculations'!$E$21-'Mass Ion Calculations'!$E12-'Mass Ion Calculations'!$D$5)))</f>
        <v/>
      </c>
      <c r="T11" s="3" t="e">
        <f>IF(OR($B11="",T$3=""),"",IF('Mass Ion Calculations'!$D$6="Yes",IF('Mass Ion Calculations'!$D$7="Yes",'Mass Ion Calculations'!$D$18+'AA Exact Masses'!$Q$3-'Mass Ion Calculations'!$C$22-'Mass Ion Calculations'!$C12-'Mass Ion Calculations'!$D$5,'Mass Ion Calculations'!$F$18+'AA Exact Masses'!$Q$3-'Mass Ion Calculations'!$E$22-'Mass Ion Calculations'!$E12-'Mass Ion Calculations'!$D$5),IF('Mass Ion Calculations'!$D$7="Yes", 'Mass Ion Calculations'!$D$15+'AA Exact Masses'!$Q$3-'Mass Ion Calculations'!$C$22-'Mass Ion Calculations'!$C12-'Mass Ion Calculations'!$D$5,'Mass Ion Calculations'!$F$15+'AA Exact Masses'!$Q$3-'Mass Ion Calculations'!$E$22-'Mass Ion Calculations'!$E12-'Mass Ion Calculations'!$D$5)))</f>
        <v>#VALUE!</v>
      </c>
      <c r="U11" s="3" t="e">
        <f>IF(OR($B11="",U$3=""),"",IF('Mass Ion Calculations'!$D$6="Yes",IF('Mass Ion Calculations'!$D$7="Yes",'Mass Ion Calculations'!$D$18+'AA Exact Masses'!$Q$3-'Mass Ion Calculations'!$C$23-'Mass Ion Calculations'!$C12-'Mass Ion Calculations'!$D$5,'Mass Ion Calculations'!$F$18+'AA Exact Masses'!$Q$3-'Mass Ion Calculations'!$E$23-'Mass Ion Calculations'!$E12-'Mass Ion Calculations'!$D$5),IF('Mass Ion Calculations'!$D$7="Yes", 'Mass Ion Calculations'!$D$15+'AA Exact Masses'!$Q$3-'Mass Ion Calculations'!$C$23-'Mass Ion Calculations'!$C12-'Mass Ion Calculations'!$D$5,'Mass Ion Calculations'!$F$15+'AA Exact Masses'!$Q$3-'Mass Ion Calculations'!$E$23-'Mass Ion Calculations'!$E12-'Mass Ion Calculations'!$D$5)))</f>
        <v>#VALUE!</v>
      </c>
      <c r="V11" s="3" t="str">
        <f>IF(OR($B11="",V$3=""),"",IF('Mass Ion Calculations'!$D$6="Yes",IF('Mass Ion Calculations'!$D$7="Yes",'Mass Ion Calculations'!$D$18+'AA Exact Masses'!$Q$3-'Mass Ion Calculations'!$C$24-'Mass Ion Calculations'!$C12-'Mass Ion Calculations'!$D$5,'Mass Ion Calculations'!$F$18+'AA Exact Masses'!$Q$3-'Mass Ion Calculations'!$E$24-'Mass Ion Calculations'!$E12-'Mass Ion Calculations'!$D$5),IF('Mass Ion Calculations'!$D$7="Yes", 'Mass Ion Calculations'!$D$15+'AA Exact Masses'!$Q$3-'Mass Ion Calculations'!$C$24-'Mass Ion Calculations'!$C12-'Mass Ion Calculations'!$D$5,'Mass Ion Calculations'!$F$15+'AA Exact Masses'!$Q$3-'Mass Ion Calculations'!$E$24-'Mass Ion Calculations'!$E12-'Mass Ion Calculations'!$D$5)))</f>
        <v/>
      </c>
      <c r="W11" s="3" t="str">
        <f>IF(OR($B11="",W$3=""),"",IF('Mass Ion Calculations'!$D$6="Yes",IF('Mass Ion Calculations'!$D$7="Yes",'Mass Ion Calculations'!$D$18+'AA Exact Masses'!$Q$3-'Mass Ion Calculations'!$C$25-'Mass Ion Calculations'!$C12-'Mass Ion Calculations'!$D$5,'Mass Ion Calculations'!$F$18+'AA Exact Masses'!$Q$3-'Mass Ion Calculations'!$E$25-'Mass Ion Calculations'!$E12-'Mass Ion Calculations'!$D$5),IF('Mass Ion Calculations'!$D$7="Yes", 'Mass Ion Calculations'!$D$15+'AA Exact Masses'!$Q$3-'Mass Ion Calculations'!$C$25-'Mass Ion Calculations'!$C12-'Mass Ion Calculations'!$D$5,'Mass Ion Calculations'!$F$15+'AA Exact Masses'!$Q$3-'Mass Ion Calculations'!$E$25-'Mass Ion Calculations'!$E12-'Mass Ion Calculations'!$D$5)))</f>
        <v/>
      </c>
      <c r="X11" s="3" t="str">
        <f>IF(OR($B11="",X$3=""),"",IF('Mass Ion Calculations'!$D$6="Yes",IF('Mass Ion Calculations'!$D$7="Yes",'Mass Ion Calculations'!$D$18+'AA Exact Masses'!$Q$3-'Mass Ion Calculations'!$C$26-'Mass Ion Calculations'!$C12-'Mass Ion Calculations'!$D$5,'Mass Ion Calculations'!$F$18+'AA Exact Masses'!$Q$3-'Mass Ion Calculations'!$E$26-'Mass Ion Calculations'!$E12-'Mass Ion Calculations'!$D$5),IF('Mass Ion Calculations'!$D$7="Yes", 'Mass Ion Calculations'!$D$15+'AA Exact Masses'!$Q$3-'Mass Ion Calculations'!$C$26-'Mass Ion Calculations'!$C12-'Mass Ion Calculations'!$D$5,'Mass Ion Calculations'!$F$15+'AA Exact Masses'!$Q$3-'Mass Ion Calculations'!$E$26-'Mass Ion Calculations'!$E12-'Mass Ion Calculations'!$D$5)))</f>
        <v/>
      </c>
      <c r="Y11" s="3" t="str">
        <f>IF(OR($B11="",Y$3=""),"",IF('Mass Ion Calculations'!$D$6="Yes",IF('Mass Ion Calculations'!$D$7="Yes",'Mass Ion Calculations'!$D$18+'AA Exact Masses'!$Q$3-'Mass Ion Calculations'!$C$27-'Mass Ion Calculations'!$C12-'Mass Ion Calculations'!$D$5,'Mass Ion Calculations'!$F$18+'AA Exact Masses'!$Q$3-'Mass Ion Calculations'!$E$27-'Mass Ion Calculations'!$E12-'Mass Ion Calculations'!$D$5),IF('Mass Ion Calculations'!$D$7="Yes", 'Mass Ion Calculations'!$D$15+'AA Exact Masses'!$Q$3-'Mass Ion Calculations'!$C$27-'Mass Ion Calculations'!$C12-'Mass Ion Calculations'!$D$5,'Mass Ion Calculations'!$F$15+'AA Exact Masses'!$Q$3-'Mass Ion Calculations'!$E$27-'Mass Ion Calculations'!$E12-'Mass Ion Calculations'!$D$5)))</f>
        <v/>
      </c>
      <c r="Z11" s="3" t="str">
        <f>IF(OR($B11="",Z$3=""),"",IF('Mass Ion Calculations'!$D$6="Yes",IF('Mass Ion Calculations'!$D$7="Yes",'Mass Ion Calculations'!$D$18+'AA Exact Masses'!$Q$3-'Mass Ion Calculations'!$C$28-'Mass Ion Calculations'!$C12-'Mass Ion Calculations'!$D$5,'Mass Ion Calculations'!$F$18+'AA Exact Masses'!$Q$3-'Mass Ion Calculations'!$E$28-'Mass Ion Calculations'!$E12-'Mass Ion Calculations'!$D$5),IF('Mass Ion Calculations'!$D$7="Yes", 'Mass Ion Calculations'!$D$15+'AA Exact Masses'!$Q$3-'Mass Ion Calculations'!$C$28-'Mass Ion Calculations'!$C12-'Mass Ion Calculations'!$D$5,'Mass Ion Calculations'!$F$15+'AA Exact Masses'!$Q$3-'Mass Ion Calculations'!$E$28-'Mass Ion Calculations'!$E12-'Mass Ion Calculations'!$D$5)))</f>
        <v/>
      </c>
    </row>
    <row r="12" spans="2:26" x14ac:dyDescent="0.25">
      <c r="B12" s="4" t="str">
        <f>IF('Mass Ion Calculations'!B13="","",'Mass Ion Calculations'!B13)</f>
        <v>Orn(Boc)</v>
      </c>
      <c r="C12" s="3">
        <f>IF(OR($B12="",C$3=""),"",IF('Mass Ion Calculations'!$D$6="Yes",IF('Mass Ion Calculations'!$D$7="Yes",'Mass Ion Calculations'!$D$18+'AA Exact Masses'!$Q$3-'Mass Ion Calculations'!$C$5-'Mass Ion Calculations'!$C13-'Mass Ion Calculations'!$D$5,'Mass Ion Calculations'!$F$18+'AA Exact Masses'!$Q$3-'Mass Ion Calculations'!$E$5-'Mass Ion Calculations'!$E13-'Mass Ion Calculations'!$D$5),IF('Mass Ion Calculations'!$D$7="Yes", 'Mass Ion Calculations'!$D$15+'AA Exact Masses'!$Q$3-'Mass Ion Calculations'!$C$5-'Mass Ion Calculations'!$C13-'Mass Ion Calculations'!$D$5,'Mass Ion Calculations'!$F$15+'AA Exact Masses'!$Q$3-'Mass Ion Calculations'!$E$5-'Mass Ion Calculations'!$E13-'Mass Ion Calculations'!$D$5)))</f>
        <v>417.75650999999993</v>
      </c>
      <c r="D12" s="3">
        <f>IF(OR($B12="",D$3=""),"",IF('Mass Ion Calculations'!$D$6="Yes",IF('Mass Ion Calculations'!$D$7="Yes",'Mass Ion Calculations'!$D$18+'AA Exact Masses'!$Q$3-'Mass Ion Calculations'!$C$6-'Mass Ion Calculations'!$C13-'Mass Ion Calculations'!$D$5,'Mass Ion Calculations'!$F$18+'AA Exact Masses'!$Q$3-'Mass Ion Calculations'!$E$6-'Mass Ion Calculations'!$E13-'Mass Ion Calculations'!$D$5),IF('Mass Ion Calculations'!$D$7="Yes", 'Mass Ion Calculations'!$D$15+'AA Exact Masses'!$Q$3-'Mass Ion Calculations'!$C$6-'Mass Ion Calculations'!$C13-'Mass Ion Calculations'!$D$5,'Mass Ion Calculations'!$F$15+'AA Exact Masses'!$Q$3-'Mass Ion Calculations'!$E$6-'Mass Ion Calculations'!$E13-'Mass Ion Calculations'!$D$5)))</f>
        <v>460.79872</v>
      </c>
      <c r="E12" s="3">
        <f>IF(OR($B12="",E$3=""),"",IF('Mass Ion Calculations'!$D$6="Yes",IF('Mass Ion Calculations'!$D$7="Yes",'Mass Ion Calculations'!$D$18+'AA Exact Masses'!$Q$3-'Mass Ion Calculations'!$C$7-'Mass Ion Calculations'!$C13-'Mass Ion Calculations'!$D$5,'Mass Ion Calculations'!$F$18+'AA Exact Masses'!$Q$3-'Mass Ion Calculations'!$E$7-'Mass Ion Calculations'!$E13-'Mass Ion Calculations'!$D$5),IF('Mass Ion Calculations'!$D$7="Yes", 'Mass Ion Calculations'!$D$15+'AA Exact Masses'!$Q$3-'Mass Ion Calculations'!$C$7-'Mass Ion Calculations'!$C13-'Mass Ion Calculations'!$D$5,'Mass Ion Calculations'!$F$15+'AA Exact Masses'!$Q$3-'Mass Ion Calculations'!$E$7-'Mass Ion Calculations'!$E13-'Mass Ion Calculations'!$D$5)))</f>
        <v>418.75177000000008</v>
      </c>
      <c r="F12" s="3">
        <f>IF(OR($B12="",F$3=""),"",IF('Mass Ion Calculations'!$D$6="Yes",IF('Mass Ion Calculations'!$D$7="Yes",'Mass Ion Calculations'!$D$18+'AA Exact Masses'!$Q$3-'Mass Ion Calculations'!$C$8-'Mass Ion Calculations'!$C13-'Mass Ion Calculations'!$D$5,'Mass Ion Calculations'!$F$18+'AA Exact Masses'!$Q$3-'Mass Ion Calculations'!$E$8-'Mass Ion Calculations'!$E13-'Mass Ion Calculations'!$D$5),IF('Mass Ion Calculations'!$D$7="Yes", 'Mass Ion Calculations'!$D$15+'AA Exact Masses'!$Q$3-'Mass Ion Calculations'!$C$8-'Mass Ion Calculations'!$C13-'Mass Ion Calculations'!$D$5,'Mass Ion Calculations'!$F$15+'AA Exact Masses'!$Q$3-'Mass Ion Calculations'!$E$8-'Mass Ion Calculations'!$E13-'Mass Ion Calculations'!$D$5)))</f>
        <v>418.75177000000008</v>
      </c>
      <c r="G12" s="3">
        <f>IF(OR($B12="",G$3=""),"",IF('Mass Ion Calculations'!$D$6="Yes",IF('Mass Ion Calculations'!$D$7="Yes",'Mass Ion Calculations'!$D$18+'AA Exact Masses'!$Q$3-'Mass Ion Calculations'!$C$9-'Mass Ion Calculations'!$C13-'Mass Ion Calculations'!$D$5,'Mass Ion Calculations'!$F$18+'AA Exact Masses'!$Q$3-'Mass Ion Calculations'!$E$9-'Mass Ion Calculations'!$E13-'Mass Ion Calculations'!$D$5),IF('Mass Ion Calculations'!$D$7="Yes", 'Mass Ion Calculations'!$D$15+'AA Exact Masses'!$Q$3-'Mass Ion Calculations'!$C$9-'Mass Ion Calculations'!$C13-'Mass Ion Calculations'!$D$5,'Mass Ion Calculations'!$F$15+'AA Exact Masses'!$Q$3-'Mass Ion Calculations'!$E$9-'Mass Ion Calculations'!$E13-'Mass Ion Calculations'!$D$5)))</f>
        <v>460.79872</v>
      </c>
      <c r="H12" s="3">
        <f>IF(OR($B12="",H$3=""),"",IF('Mass Ion Calculations'!$D$6="Yes",IF('Mass Ion Calculations'!$D$7="Yes",'Mass Ion Calculations'!$D$18+'AA Exact Masses'!$Q$3-'Mass Ion Calculations'!$C$10-'Mass Ion Calculations'!$C13-'Mass Ion Calculations'!$D$5,'Mass Ion Calculations'!$F$18+'AA Exact Masses'!$Q$3-'Mass Ion Calculations'!$E$10-'Mass Ion Calculations'!$E13-'Mass Ion Calculations'!$D$5),IF('Mass Ion Calculations'!$D$7="Yes", 'Mass Ion Calculations'!$D$15+'AA Exact Masses'!$Q$3-'Mass Ion Calculations'!$C$10-'Mass Ion Calculations'!$C13-'Mass Ion Calculations'!$D$5,'Mass Ion Calculations'!$F$15+'AA Exact Masses'!$Q$3-'Mass Ion Calculations'!$E$10-'Mass Ion Calculations'!$E13-'Mass Ion Calculations'!$D$5)))</f>
        <v>418.75177000000008</v>
      </c>
      <c r="I12" s="3">
        <f>IF(OR($B12="",I$3=""),"",IF('Mass Ion Calculations'!$D$6="Yes",IF('Mass Ion Calculations'!$D$7="Yes",'Mass Ion Calculations'!$D$18+'AA Exact Masses'!$Q$3-'Mass Ion Calculations'!$C$11-'Mass Ion Calculations'!$C13-'Mass Ion Calculations'!$D$5,'Mass Ion Calculations'!$F$18+'AA Exact Masses'!$Q$3-'Mass Ion Calculations'!$E$11-'Mass Ion Calculations'!$E13-'Mass Ion Calculations'!$D$5),IF('Mass Ion Calculations'!$D$7="Yes", 'Mass Ion Calculations'!$D$15+'AA Exact Masses'!$Q$3-'Mass Ion Calculations'!$C$11-'Mass Ion Calculations'!$C13-'Mass Ion Calculations'!$D$5,'Mass Ion Calculations'!$F$15+'AA Exact Masses'!$Q$3-'Mass Ion Calculations'!$E$11-'Mass Ion Calculations'!$E13-'Mass Ion Calculations'!$D$5)))</f>
        <v>417.75650999999993</v>
      </c>
      <c r="J12" s="3">
        <f>IF(OR($B12="",J$3=""),"",IF('Mass Ion Calculations'!$D$6="Yes",IF('Mass Ion Calculations'!$D$7="Yes",'Mass Ion Calculations'!$D$18+'AA Exact Masses'!$Q$3-'Mass Ion Calculations'!$C$12-'Mass Ion Calculations'!$C13-'Mass Ion Calculations'!$D$5,'Mass Ion Calculations'!$F$18+'AA Exact Masses'!$Q$3-'Mass Ion Calculations'!$E$12-'Mass Ion Calculations'!$E13-'Mass Ion Calculations'!$D$5),IF('Mass Ion Calculations'!$D$7="Yes", 'Mass Ion Calculations'!$D$15+'AA Exact Masses'!$Q$3-'Mass Ion Calculations'!$C$12-'Mass Ion Calculations'!$C13-'Mass Ion Calculations'!$D$5,'Mass Ion Calculations'!$F$15+'AA Exact Masses'!$Q$3-'Mass Ion Calculations'!$E$12-'Mass Ion Calculations'!$E13-'Mass Ion Calculations'!$D$5)))</f>
        <v>432.7674199999999</v>
      </c>
      <c r="K12" s="3">
        <f>IF(OR($B12="",K$3=""),"",IF('Mass Ion Calculations'!$D$6="Yes",IF('Mass Ion Calculations'!$D$7="Yes",'Mass Ion Calculations'!$D$18+'AA Exact Masses'!$Q$3-'Mass Ion Calculations'!$C$13-'Mass Ion Calculations'!$C13-'Mass Ion Calculations'!$D$5,'Mass Ion Calculations'!$F$18+'AA Exact Masses'!$Q$3-'Mass Ion Calculations'!$E$14-'Mass Ion Calculations'!$E13-'Mass Ion Calculations'!$D$5),IF('Mass Ion Calculations'!$D$7="Yes", 'Mass Ion Calculations'!$D$15+'AA Exact Masses'!$Q$3-'Mass Ion Calculations'!$C$13-'Mass Ion Calculations'!$C13-'Mass Ion Calculations'!$D$5,'Mass Ion Calculations'!$F$15+'AA Exact Masses'!$Q$3-'Mass Ion Calculations'!$E$14-'Mass Ion Calculations'!$E13-'Mass Ion Calculations'!$D$5)))</f>
        <v>402.79323999999997</v>
      </c>
      <c r="L12" s="3">
        <f>IF(OR($B12="",L$3=""),"",IF('Mass Ion Calculations'!$D$6="Yes",IF('Mass Ion Calculations'!$D$7="Yes",'Mass Ion Calculations'!$D$18+'AA Exact Masses'!$Q$3-'Mass Ion Calculations'!$C$14-'Mass Ion Calculations'!$C13-'Mass Ion Calculations'!$D$5,'Mass Ion Calculations'!$F$18+'AA Exact Masses'!$Q$3-'Mass Ion Calculations'!$E$15-'Mass Ion Calculations'!$E13-'Mass Ion Calculations'!$D$5),IF('Mass Ion Calculations'!$D$7="Yes", 'Mass Ion Calculations'!$D$15+'AA Exact Masses'!$Q$3-'Mass Ion Calculations'!$C$14-'Mass Ion Calculations'!$C13-'Mass Ion Calculations'!$D$5,'Mass Ion Calculations'!$F$15+'AA Exact Masses'!$Q$3-'Mass Ion Calculations'!$E$15-'Mass Ion Calculations'!$E13-'Mass Ion Calculations'!$D$5)))</f>
        <v>416.80889000000002</v>
      </c>
      <c r="M12" s="3">
        <f>IF(OR($B12="",M$3=""),"",IF('Mass Ion Calculations'!$D$6="Yes",IF('Mass Ion Calculations'!$D$7="Yes",'Mass Ion Calculations'!$D$18+'AA Exact Masses'!$Q$3-'Mass Ion Calculations'!$C$15-'Mass Ion Calculations'!$C13-'Mass Ion Calculations'!$D$5,'Mass Ion Calculations'!$F$18+'AA Exact Masses'!$Q$3-'Mass Ion Calculations'!$E$16-'Mass Ion Calculations'!$E13-'Mass Ion Calculations'!$D$5),IF('Mass Ion Calculations'!$D$7="Yes", 'Mass Ion Calculations'!$D$15+'AA Exact Masses'!$Q$3-'Mass Ion Calculations'!$C$15-'Mass Ion Calculations'!$C13-'Mass Ion Calculations'!$D$5,'Mass Ion Calculations'!$F$15+'AA Exact Masses'!$Q$3-'Mass Ion Calculations'!$E$16-'Mass Ion Calculations'!$E13-'Mass Ion Calculations'!$D$5)))</f>
        <v>460.79872</v>
      </c>
      <c r="N12" s="3">
        <f>IF(OR($B12="",N$3=""),"",IF('Mass Ion Calculations'!$D$6="Yes",IF('Mass Ion Calculations'!$D$7="Yes",'Mass Ion Calculations'!$D$18+'AA Exact Masses'!$Q$3-'Mass Ion Calculations'!$C$16-'Mass Ion Calculations'!$C13-'Mass Ion Calculations'!$D$5,'Mass Ion Calculations'!$F$18+'AA Exact Masses'!$Q$3-'Mass Ion Calculations'!$E$17-'Mass Ion Calculations'!$E13-'Mass Ion Calculations'!$D$5),IF('Mass Ion Calculations'!$D$7="Yes", 'Mass Ion Calculations'!$D$15+'AA Exact Masses'!$Q$3-'Mass Ion Calculations'!$C$16-'Mass Ion Calculations'!$C13-'Mass Ion Calculations'!$D$5,'Mass Ion Calculations'!$F$15+'AA Exact Masses'!$Q$3-'Mass Ion Calculations'!$E$17-'Mass Ion Calculations'!$E13-'Mass Ion Calculations'!$D$5)))</f>
        <v>384.7674199999999</v>
      </c>
      <c r="O12" s="3">
        <f>IF(OR($B12="",O$3=""),"",IF('Mass Ion Calculations'!$D$6="Yes",IF('Mass Ion Calculations'!$D$7="Yes",'Mass Ion Calculations'!$D$18+'AA Exact Masses'!$Q$3-'Mass Ion Calculations'!$C$17-'Mass Ion Calculations'!$C13-'Mass Ion Calculations'!$D$5,'Mass Ion Calculations'!$F$18+'AA Exact Masses'!$Q$3-'Mass Ion Calculations'!$E$18-'Mass Ion Calculations'!$E13-'Mass Ion Calculations'!$D$5),IF('Mass Ion Calculations'!$D$7="Yes", 'Mass Ion Calculations'!$D$15+'AA Exact Masses'!$Q$3-'Mass Ion Calculations'!$C$17-'Mass Ion Calculations'!$C13-'Mass Ion Calculations'!$D$5,'Mass Ion Calculations'!$F$15+'AA Exact Masses'!$Q$3-'Mass Ion Calculations'!$E$18-'Mass Ion Calculations'!$E13-'Mass Ion Calculations'!$D$5)))</f>
        <v>258.87076999999999</v>
      </c>
      <c r="P12" s="3">
        <f>IF(OR($B12="",P$3=""),"",IF('Mass Ion Calculations'!$D$6="Yes",IF('Mass Ion Calculations'!$D$7="Yes",'Mass Ion Calculations'!$D$18+'AA Exact Masses'!$Q$3-'Mass Ion Calculations'!$C$19-'Mass Ion Calculations'!$C13-'Mass Ion Calculations'!$D$5,'Mass Ion Calculations'!$F$18+'AA Exact Masses'!$Q$3-'Mass Ion Calculations'!$E$19-'Mass Ion Calculations'!$E13-'Mass Ion Calculations'!$D$5),IF('Mass Ion Calculations'!$D$7="Yes", 'Mass Ion Calculations'!$D$15+'AA Exact Masses'!$Q$3-'Mass Ion Calculations'!$C$19-'Mass Ion Calculations'!$C13-'Mass Ion Calculations'!$D$5,'Mass Ion Calculations'!$F$15+'AA Exact Masses'!$Q$3-'Mass Ion Calculations'!$E$19-'Mass Ion Calculations'!$E13-'Mass Ion Calculations'!$D$5)))</f>
        <v>432.7674199999999</v>
      </c>
      <c r="Q12" s="3">
        <f>IF(OR($B12="",Q$3=""),"",IF('Mass Ion Calculations'!$D$6="Yes",IF('Mass Ion Calculations'!$D$7="Yes",'Mass Ion Calculations'!$D$18+'AA Exact Masses'!$Q$3-'Mass Ion Calculations'!$C$20-'Mass Ion Calculations'!$C13-'Mass Ion Calculations'!$D$5,'Mass Ion Calculations'!$F$18+'AA Exact Masses'!$Q$3-'Mass Ion Calculations'!$E$20-'Mass Ion Calculations'!$E13-'Mass Ion Calculations'!$D$5),IF('Mass Ion Calculations'!$D$7="Yes", 'Mass Ion Calculations'!$D$15+'AA Exact Masses'!$Q$3-'Mass Ion Calculations'!$C$20-'Mass Ion Calculations'!$C13-'Mass Ion Calculations'!$D$5,'Mass Ion Calculations'!$F$15+'AA Exact Masses'!$Q$3-'Mass Ion Calculations'!$E$20-'Mass Ion Calculations'!$E13-'Mass Ion Calculations'!$D$5)))</f>
        <v>418.75177000000008</v>
      </c>
      <c r="R12" s="3" t="e">
        <f>IF(OR($B12="",R$3=""),"",IF('Mass Ion Calculations'!$D$6="Yes",IF('Mass Ion Calculations'!$D$7="Yes",'Mass Ion Calculations'!$D$18+'AA Exact Masses'!$Q$3-'Mass Ion Calculations'!$C$21-'Mass Ion Calculations'!$C13-'Mass Ion Calculations'!$D$5,'Mass Ion Calculations'!$F$18+'AA Exact Masses'!$Q$3-'Mass Ion Calculations'!$E$21-'Mass Ion Calculations'!$E13-'Mass Ion Calculations'!$D$5),IF('Mass Ion Calculations'!$D$7="Yes", 'Mass Ion Calculations'!$D$15+'AA Exact Masses'!$Q$3-'Mass Ion Calculations'!$C$21-'Mass Ion Calculations'!$C13-'Mass Ion Calculations'!$D$5,'Mass Ion Calculations'!$F$15+'AA Exact Masses'!$Q$3-'Mass Ion Calculations'!$E$21-'Mass Ion Calculations'!$E13-'Mass Ion Calculations'!$D$5)))</f>
        <v>#VALUE!</v>
      </c>
      <c r="S12" s="3" t="str">
        <f>IF(OR($B12="",S$3=""),"",IF('Mass Ion Calculations'!$D$6="Yes",IF('Mass Ion Calculations'!$D$7="Yes",'Mass Ion Calculations'!$D$18+'AA Exact Masses'!$Q$3-'Mass Ion Calculations'!$C$21-'Mass Ion Calculations'!$C13-'Mass Ion Calculations'!$D$5,'Mass Ion Calculations'!$F$18+'AA Exact Masses'!$Q$3-'Mass Ion Calculations'!$E$21-'Mass Ion Calculations'!$E13-'Mass Ion Calculations'!$D$5),IF('Mass Ion Calculations'!$D$7="Yes", 'Mass Ion Calculations'!$D$15+'AA Exact Masses'!$Q$3-'Mass Ion Calculations'!$C$21-'Mass Ion Calculations'!$C13-'Mass Ion Calculations'!$D$5,'Mass Ion Calculations'!$F$15+'AA Exact Masses'!$Q$3-'Mass Ion Calculations'!$E$21-'Mass Ion Calculations'!$E13-'Mass Ion Calculations'!$D$5)))</f>
        <v/>
      </c>
      <c r="T12" s="3" t="e">
        <f>IF(OR($B12="",T$3=""),"",IF('Mass Ion Calculations'!$D$6="Yes",IF('Mass Ion Calculations'!$D$7="Yes",'Mass Ion Calculations'!$D$18+'AA Exact Masses'!$Q$3-'Mass Ion Calculations'!$C$22-'Mass Ion Calculations'!$C13-'Mass Ion Calculations'!$D$5,'Mass Ion Calculations'!$F$18+'AA Exact Masses'!$Q$3-'Mass Ion Calculations'!$E$22-'Mass Ion Calculations'!$E14-'Mass Ion Calculations'!$D$5),IF('Mass Ion Calculations'!$D$7="Yes", 'Mass Ion Calculations'!$D$15+'AA Exact Masses'!$Q$3-'Mass Ion Calculations'!$C$22-'Mass Ion Calculations'!$C13-'Mass Ion Calculations'!$D$5,'Mass Ion Calculations'!$F$15+'AA Exact Masses'!$Q$3-'Mass Ion Calculations'!$E$22-'Mass Ion Calculations'!$E14-'Mass Ion Calculations'!$D$5)))</f>
        <v>#VALUE!</v>
      </c>
      <c r="U12" s="3" t="e">
        <f>IF(OR($B12="",U$3=""),"",IF('Mass Ion Calculations'!$D$6="Yes",IF('Mass Ion Calculations'!$D$7="Yes",'Mass Ion Calculations'!$D$18+'AA Exact Masses'!$Q$3-'Mass Ion Calculations'!$C$23-'Mass Ion Calculations'!$C13-'Mass Ion Calculations'!$D$5,'Mass Ion Calculations'!$F$18+'AA Exact Masses'!$Q$3-'Mass Ion Calculations'!$E$23-'Mass Ion Calculations'!$E14-'Mass Ion Calculations'!$D$5),IF('Mass Ion Calculations'!$D$7="Yes", 'Mass Ion Calculations'!$D$15+'AA Exact Masses'!$Q$3-'Mass Ion Calculations'!$C$23-'Mass Ion Calculations'!$C13-'Mass Ion Calculations'!$D$5,'Mass Ion Calculations'!$F$15+'AA Exact Masses'!$Q$3-'Mass Ion Calculations'!$E$23-'Mass Ion Calculations'!$E14-'Mass Ion Calculations'!$D$5)))</f>
        <v>#VALUE!</v>
      </c>
      <c r="V12" s="3" t="str">
        <f>IF(OR($B12="",V$3=""),"",IF('Mass Ion Calculations'!$D$6="Yes",IF('Mass Ion Calculations'!$D$7="Yes",'Mass Ion Calculations'!$D$18+'AA Exact Masses'!$Q$3-'Mass Ion Calculations'!$C$24-'Mass Ion Calculations'!$C13-'Mass Ion Calculations'!$D$5,'Mass Ion Calculations'!$F$18+'AA Exact Masses'!$Q$3-'Mass Ion Calculations'!$E$24-'Mass Ion Calculations'!$E14-'Mass Ion Calculations'!$D$5),IF('Mass Ion Calculations'!$D$7="Yes", 'Mass Ion Calculations'!$D$15+'AA Exact Masses'!$Q$3-'Mass Ion Calculations'!$C$24-'Mass Ion Calculations'!$C13-'Mass Ion Calculations'!$D$5,'Mass Ion Calculations'!$F$15+'AA Exact Masses'!$Q$3-'Mass Ion Calculations'!$E$24-'Mass Ion Calculations'!$E14-'Mass Ion Calculations'!$D$5)))</f>
        <v/>
      </c>
      <c r="W12" s="3" t="str">
        <f>IF(OR($B12="",W$3=""),"",IF('Mass Ion Calculations'!$D$6="Yes",IF('Mass Ion Calculations'!$D$7="Yes",'Mass Ion Calculations'!$D$18+'AA Exact Masses'!$Q$3-'Mass Ion Calculations'!$C$25-'Mass Ion Calculations'!$C13-'Mass Ion Calculations'!$D$5,'Mass Ion Calculations'!$F$18+'AA Exact Masses'!$Q$3-'Mass Ion Calculations'!$E$25-'Mass Ion Calculations'!$E14-'Mass Ion Calculations'!$D$5),IF('Mass Ion Calculations'!$D$7="Yes", 'Mass Ion Calculations'!$D$15+'AA Exact Masses'!$Q$3-'Mass Ion Calculations'!$C$25-'Mass Ion Calculations'!$C13-'Mass Ion Calculations'!$D$5,'Mass Ion Calculations'!$F$15+'AA Exact Masses'!$Q$3-'Mass Ion Calculations'!$E$25-'Mass Ion Calculations'!$E14-'Mass Ion Calculations'!$D$5)))</f>
        <v/>
      </c>
      <c r="X12" s="3" t="str">
        <f>IF(OR($B12="",X$3=""),"",IF('Mass Ion Calculations'!$D$6="Yes",IF('Mass Ion Calculations'!$D$7="Yes",'Mass Ion Calculations'!$D$18+'AA Exact Masses'!$Q$3-'Mass Ion Calculations'!$C$26-'Mass Ion Calculations'!$C13-'Mass Ion Calculations'!$D$5,'Mass Ion Calculations'!$F$18+'AA Exact Masses'!$Q$3-'Mass Ion Calculations'!$E$26-'Mass Ion Calculations'!$E14-'Mass Ion Calculations'!$D$5),IF('Mass Ion Calculations'!$D$7="Yes", 'Mass Ion Calculations'!$D$15+'AA Exact Masses'!$Q$3-'Mass Ion Calculations'!$C$26-'Mass Ion Calculations'!$C13-'Mass Ion Calculations'!$D$5,'Mass Ion Calculations'!$F$15+'AA Exact Masses'!$Q$3-'Mass Ion Calculations'!$E$26-'Mass Ion Calculations'!$E14-'Mass Ion Calculations'!$D$5)))</f>
        <v/>
      </c>
      <c r="Y12" s="3" t="str">
        <f>IF(OR($B12="",Y$3=""),"",IF('Mass Ion Calculations'!$D$6="Yes",IF('Mass Ion Calculations'!$D$7="Yes",'Mass Ion Calculations'!$D$18+'AA Exact Masses'!$Q$3-'Mass Ion Calculations'!$C$27-'Mass Ion Calculations'!$C13-'Mass Ion Calculations'!$D$5,'Mass Ion Calculations'!$F$18+'AA Exact Masses'!$Q$3-'Mass Ion Calculations'!$E$27-'Mass Ion Calculations'!$E14-'Mass Ion Calculations'!$D$5),IF('Mass Ion Calculations'!$D$7="Yes", 'Mass Ion Calculations'!$D$15+'AA Exact Masses'!$Q$3-'Mass Ion Calculations'!$C$27-'Mass Ion Calculations'!$C13-'Mass Ion Calculations'!$D$5,'Mass Ion Calculations'!$F$15+'AA Exact Masses'!$Q$3-'Mass Ion Calculations'!$E$27-'Mass Ion Calculations'!$E14-'Mass Ion Calculations'!$D$5)))</f>
        <v/>
      </c>
      <c r="Z12" s="3" t="str">
        <f>IF(OR($B12="",Z$3=""),"",IF('Mass Ion Calculations'!$D$6="Yes",IF('Mass Ion Calculations'!$D$7="Yes",'Mass Ion Calculations'!$D$18+'AA Exact Masses'!$Q$3-'Mass Ion Calculations'!$C$28-'Mass Ion Calculations'!$C13-'Mass Ion Calculations'!$D$5,'Mass Ion Calculations'!$F$18+'AA Exact Masses'!$Q$3-'Mass Ion Calculations'!$E$28-'Mass Ion Calculations'!$E14-'Mass Ion Calculations'!$D$5),IF('Mass Ion Calculations'!$D$7="Yes", 'Mass Ion Calculations'!$D$15+'AA Exact Masses'!$Q$3-'Mass Ion Calculations'!$C$28-'Mass Ion Calculations'!$C13-'Mass Ion Calculations'!$D$5,'Mass Ion Calculations'!$F$15+'AA Exact Masses'!$Q$3-'Mass Ion Calculations'!$E$28-'Mass Ion Calculations'!$E14-'Mass Ion Calculations'!$D$5)))</f>
        <v/>
      </c>
    </row>
    <row r="13" spans="2:26" x14ac:dyDescent="0.25">
      <c r="B13" s="4" t="str">
        <f>IF('Mass Ion Calculations'!B14="","",'Mass Ion Calculations'!B14)</f>
        <v>Glu(OtBu)</v>
      </c>
      <c r="C13" s="3">
        <f>IF(OR($B13="",C$3=""),"",IF('Mass Ion Calculations'!$D$6="Yes",IF('Mass Ion Calculations'!$D$7="Yes",'Mass Ion Calculations'!$D$18+'AA Exact Masses'!$Q$3-'Mass Ion Calculations'!$C$5-'Mass Ion Calculations'!$C14-'Mass Ion Calculations'!$D$5,'Mass Ion Calculations'!$F$18+'AA Exact Masses'!$Q$3-'Mass Ion Calculations'!$E$5-'Mass Ion Calculations'!$E14-'Mass Ion Calculations'!$D$5),IF('Mass Ion Calculations'!$D$7="Yes", 'Mass Ion Calculations'!$D$15+'AA Exact Masses'!$Q$3-'Mass Ion Calculations'!$C$5-'Mass Ion Calculations'!$C14-'Mass Ion Calculations'!$D$5,'Mass Ion Calculations'!$F$15+'AA Exact Masses'!$Q$3-'Mass Ion Calculations'!$E$5-'Mass Ion Calculations'!$E14-'Mass Ion Calculations'!$D$5)))</f>
        <v>402.79323999999997</v>
      </c>
      <c r="D13" s="3">
        <f>IF(OR($B13="",D$3=""),"",IF('Mass Ion Calculations'!$D$6="Yes",IF('Mass Ion Calculations'!$D$7="Yes",'Mass Ion Calculations'!$D$18+'AA Exact Masses'!$Q$3-'Mass Ion Calculations'!$C$6-'Mass Ion Calculations'!$C14-'Mass Ion Calculations'!$D$5,'Mass Ion Calculations'!$F$18+'AA Exact Masses'!$Q$3-'Mass Ion Calculations'!$E$6-'Mass Ion Calculations'!$E14-'Mass Ion Calculations'!$D$5),IF('Mass Ion Calculations'!$D$7="Yes", 'Mass Ion Calculations'!$D$15+'AA Exact Masses'!$Q$3-'Mass Ion Calculations'!$C$6-'Mass Ion Calculations'!$C14-'Mass Ion Calculations'!$D$5,'Mass Ion Calculations'!$F$15+'AA Exact Masses'!$Q$3-'Mass Ion Calculations'!$E$6-'Mass Ion Calculations'!$E14-'Mass Ion Calculations'!$D$5)))</f>
        <v>445.83545000000004</v>
      </c>
      <c r="E13" s="3">
        <f>IF(OR($B13="",E$3=""),"",IF('Mass Ion Calculations'!$D$6="Yes",IF('Mass Ion Calculations'!$D$7="Yes",'Mass Ion Calculations'!$D$18+'AA Exact Masses'!$Q$3-'Mass Ion Calculations'!$C$7-'Mass Ion Calculations'!$C14-'Mass Ion Calculations'!$D$5,'Mass Ion Calculations'!$F$18+'AA Exact Masses'!$Q$3-'Mass Ion Calculations'!$E$7-'Mass Ion Calculations'!$E14-'Mass Ion Calculations'!$D$5),IF('Mass Ion Calculations'!$D$7="Yes", 'Mass Ion Calculations'!$D$15+'AA Exact Masses'!$Q$3-'Mass Ion Calculations'!$C$7-'Mass Ion Calculations'!$C14-'Mass Ion Calculations'!$D$5,'Mass Ion Calculations'!$F$15+'AA Exact Masses'!$Q$3-'Mass Ion Calculations'!$E$7-'Mass Ion Calculations'!$E14-'Mass Ion Calculations'!$D$5)))</f>
        <v>403.78850000000011</v>
      </c>
      <c r="F13" s="3">
        <f>IF(OR($B13="",F$3=""),"",IF('Mass Ion Calculations'!$D$6="Yes",IF('Mass Ion Calculations'!$D$7="Yes",'Mass Ion Calculations'!$D$18+'AA Exact Masses'!$Q$3-'Mass Ion Calculations'!$C$8-'Mass Ion Calculations'!$C14-'Mass Ion Calculations'!$D$5,'Mass Ion Calculations'!$F$18+'AA Exact Masses'!$Q$3-'Mass Ion Calculations'!$E$8-'Mass Ion Calculations'!$E14-'Mass Ion Calculations'!$D$5),IF('Mass Ion Calculations'!$D$7="Yes", 'Mass Ion Calculations'!$D$15+'AA Exact Masses'!$Q$3-'Mass Ion Calculations'!$C$8-'Mass Ion Calculations'!$C14-'Mass Ion Calculations'!$D$5,'Mass Ion Calculations'!$F$15+'AA Exact Masses'!$Q$3-'Mass Ion Calculations'!$E$8-'Mass Ion Calculations'!$E14-'Mass Ion Calculations'!$D$5)))</f>
        <v>403.78850000000011</v>
      </c>
      <c r="G13" s="3">
        <f>IF(OR($B13="",G$3=""),"",IF('Mass Ion Calculations'!$D$6="Yes",IF('Mass Ion Calculations'!$D$7="Yes",'Mass Ion Calculations'!$D$18+'AA Exact Masses'!$Q$3-'Mass Ion Calculations'!$C$9-'Mass Ion Calculations'!$C14-'Mass Ion Calculations'!$D$5,'Mass Ion Calculations'!$F$18+'AA Exact Masses'!$Q$3-'Mass Ion Calculations'!$E$9-'Mass Ion Calculations'!$E14-'Mass Ion Calculations'!$D$5),IF('Mass Ion Calculations'!$D$7="Yes", 'Mass Ion Calculations'!$D$15+'AA Exact Masses'!$Q$3-'Mass Ion Calculations'!$C$9-'Mass Ion Calculations'!$C14-'Mass Ion Calculations'!$D$5,'Mass Ion Calculations'!$F$15+'AA Exact Masses'!$Q$3-'Mass Ion Calculations'!$E$9-'Mass Ion Calculations'!$E14-'Mass Ion Calculations'!$D$5)))</f>
        <v>445.83545000000004</v>
      </c>
      <c r="H13" s="3">
        <f>IF(OR($B13="",H$3=""),"",IF('Mass Ion Calculations'!$D$6="Yes",IF('Mass Ion Calculations'!$D$7="Yes",'Mass Ion Calculations'!$D$18+'AA Exact Masses'!$Q$3-'Mass Ion Calculations'!$C$10-'Mass Ion Calculations'!$C14-'Mass Ion Calculations'!$D$5,'Mass Ion Calculations'!$F$18+'AA Exact Masses'!$Q$3-'Mass Ion Calculations'!$E$10-'Mass Ion Calculations'!$E14-'Mass Ion Calculations'!$D$5),IF('Mass Ion Calculations'!$D$7="Yes", 'Mass Ion Calculations'!$D$15+'AA Exact Masses'!$Q$3-'Mass Ion Calculations'!$C$10-'Mass Ion Calculations'!$C14-'Mass Ion Calculations'!$D$5,'Mass Ion Calculations'!$F$15+'AA Exact Masses'!$Q$3-'Mass Ion Calculations'!$E$10-'Mass Ion Calculations'!$E14-'Mass Ion Calculations'!$D$5)))</f>
        <v>403.78850000000011</v>
      </c>
      <c r="I13" s="3">
        <f>IF(OR($B13="",I$3=""),"",IF('Mass Ion Calculations'!$D$6="Yes",IF('Mass Ion Calculations'!$D$7="Yes",'Mass Ion Calculations'!$D$18+'AA Exact Masses'!$Q$3-'Mass Ion Calculations'!$C$11-'Mass Ion Calculations'!$C14-'Mass Ion Calculations'!$D$5,'Mass Ion Calculations'!$F$18+'AA Exact Masses'!$Q$3-'Mass Ion Calculations'!$E$11-'Mass Ion Calculations'!$E14-'Mass Ion Calculations'!$D$5),IF('Mass Ion Calculations'!$D$7="Yes", 'Mass Ion Calculations'!$D$15+'AA Exact Masses'!$Q$3-'Mass Ion Calculations'!$C$11-'Mass Ion Calculations'!$C14-'Mass Ion Calculations'!$D$5,'Mass Ion Calculations'!$F$15+'AA Exact Masses'!$Q$3-'Mass Ion Calculations'!$E$11-'Mass Ion Calculations'!$E14-'Mass Ion Calculations'!$D$5)))</f>
        <v>402.79323999999997</v>
      </c>
      <c r="J13" s="3">
        <f>IF(OR($B13="",J$3=""),"",IF('Mass Ion Calculations'!$D$6="Yes",IF('Mass Ion Calculations'!$D$7="Yes",'Mass Ion Calculations'!$D$18+'AA Exact Masses'!$Q$3-'Mass Ion Calculations'!$C$12-'Mass Ion Calculations'!$C14-'Mass Ion Calculations'!$D$5,'Mass Ion Calculations'!$F$18+'AA Exact Masses'!$Q$3-'Mass Ion Calculations'!$E$12-'Mass Ion Calculations'!$E14-'Mass Ion Calculations'!$D$5),IF('Mass Ion Calculations'!$D$7="Yes", 'Mass Ion Calculations'!$D$15+'AA Exact Masses'!$Q$3-'Mass Ion Calculations'!$C$12-'Mass Ion Calculations'!$C14-'Mass Ion Calculations'!$D$5,'Mass Ion Calculations'!$F$15+'AA Exact Masses'!$Q$3-'Mass Ion Calculations'!$E$12-'Mass Ion Calculations'!$E14-'Mass Ion Calculations'!$D$5)))</f>
        <v>417.80414999999994</v>
      </c>
      <c r="K13" s="3">
        <f>IF(OR($B13="",K$3=""),"",IF('Mass Ion Calculations'!$D$6="Yes",IF('Mass Ion Calculations'!$D$7="Yes",'Mass Ion Calculations'!$D$18+'AA Exact Masses'!$Q$3-'Mass Ion Calculations'!$C$13-'Mass Ion Calculations'!$C14-'Mass Ion Calculations'!$D$5,'Mass Ion Calculations'!$F$18+'AA Exact Masses'!$Q$3-'Mass Ion Calculations'!$E$14-'Mass Ion Calculations'!$E14-'Mass Ion Calculations'!$D$5),IF('Mass Ion Calculations'!$D$7="Yes", 'Mass Ion Calculations'!$D$15+'AA Exact Masses'!$Q$3-'Mass Ion Calculations'!$C$13-'Mass Ion Calculations'!$C14-'Mass Ion Calculations'!$D$5,'Mass Ion Calculations'!$F$15+'AA Exact Masses'!$Q$3-'Mass Ion Calculations'!$E$14-'Mass Ion Calculations'!$E14-'Mass Ion Calculations'!$D$5)))</f>
        <v>387.82997</v>
      </c>
      <c r="L13" s="3">
        <f>IF(OR($B13="",L$3=""),"",IF('Mass Ion Calculations'!$D$6="Yes",IF('Mass Ion Calculations'!$D$7="Yes",'Mass Ion Calculations'!$D$18+'AA Exact Masses'!$Q$3-'Mass Ion Calculations'!$C$14-'Mass Ion Calculations'!$C14-'Mass Ion Calculations'!$D$5,'Mass Ion Calculations'!$F$18+'AA Exact Masses'!$Q$3-'Mass Ion Calculations'!$E$15-'Mass Ion Calculations'!$E14-'Mass Ion Calculations'!$D$5),IF('Mass Ion Calculations'!$D$7="Yes", 'Mass Ion Calculations'!$D$15+'AA Exact Masses'!$Q$3-'Mass Ion Calculations'!$C$14-'Mass Ion Calculations'!$C14-'Mass Ion Calculations'!$D$5,'Mass Ion Calculations'!$F$15+'AA Exact Masses'!$Q$3-'Mass Ion Calculations'!$E$15-'Mass Ion Calculations'!$E14-'Mass Ion Calculations'!$D$5)))</f>
        <v>401.84562000000005</v>
      </c>
      <c r="M13" s="3">
        <f>IF(OR($B13="",M$3=""),"",IF('Mass Ion Calculations'!$D$6="Yes",IF('Mass Ion Calculations'!$D$7="Yes",'Mass Ion Calculations'!$D$18+'AA Exact Masses'!$Q$3-'Mass Ion Calculations'!$C$15-'Mass Ion Calculations'!$C14-'Mass Ion Calculations'!$D$5,'Mass Ion Calculations'!$F$18+'AA Exact Masses'!$Q$3-'Mass Ion Calculations'!$E$16-'Mass Ion Calculations'!$E14-'Mass Ion Calculations'!$D$5),IF('Mass Ion Calculations'!$D$7="Yes", 'Mass Ion Calculations'!$D$15+'AA Exact Masses'!$Q$3-'Mass Ion Calculations'!$C$15-'Mass Ion Calculations'!$C14-'Mass Ion Calculations'!$D$5,'Mass Ion Calculations'!$F$15+'AA Exact Masses'!$Q$3-'Mass Ion Calculations'!$E$16-'Mass Ion Calculations'!$E14-'Mass Ion Calculations'!$D$5)))</f>
        <v>445.83545000000004</v>
      </c>
      <c r="N13" s="3">
        <f>IF(OR($B13="",N$3=""),"",IF('Mass Ion Calculations'!$D$6="Yes",IF('Mass Ion Calculations'!$D$7="Yes",'Mass Ion Calculations'!$D$18+'AA Exact Masses'!$Q$3-'Mass Ion Calculations'!$C$16-'Mass Ion Calculations'!$C14-'Mass Ion Calculations'!$D$5,'Mass Ion Calculations'!$F$18+'AA Exact Masses'!$Q$3-'Mass Ion Calculations'!$E$17-'Mass Ion Calculations'!$E14-'Mass Ion Calculations'!$D$5),IF('Mass Ion Calculations'!$D$7="Yes", 'Mass Ion Calculations'!$D$15+'AA Exact Masses'!$Q$3-'Mass Ion Calculations'!$C$16-'Mass Ion Calculations'!$C14-'Mass Ion Calculations'!$D$5,'Mass Ion Calculations'!$F$15+'AA Exact Masses'!$Q$3-'Mass Ion Calculations'!$E$17-'Mass Ion Calculations'!$E14-'Mass Ion Calculations'!$D$5)))</f>
        <v>369.80414999999994</v>
      </c>
      <c r="O13" s="3">
        <f>IF(OR($B13="",O$3=""),"",IF('Mass Ion Calculations'!$D$6="Yes",IF('Mass Ion Calculations'!$D$7="Yes",'Mass Ion Calculations'!$D$18+'AA Exact Masses'!$Q$3-'Mass Ion Calculations'!$C$17-'Mass Ion Calculations'!$C14-'Mass Ion Calculations'!$D$5,'Mass Ion Calculations'!$F$18+'AA Exact Masses'!$Q$3-'Mass Ion Calculations'!$E$18-'Mass Ion Calculations'!$E14-'Mass Ion Calculations'!$D$5),IF('Mass Ion Calculations'!$D$7="Yes", 'Mass Ion Calculations'!$D$15+'AA Exact Masses'!$Q$3-'Mass Ion Calculations'!$C$17-'Mass Ion Calculations'!$C14-'Mass Ion Calculations'!$D$5,'Mass Ion Calculations'!$F$15+'AA Exact Masses'!$Q$3-'Mass Ion Calculations'!$E$18-'Mass Ion Calculations'!$E14-'Mass Ion Calculations'!$D$5)))</f>
        <v>243.90750000000003</v>
      </c>
      <c r="P13" s="3">
        <f>IF(OR($B13="",P$3=""),"",IF('Mass Ion Calculations'!$D$6="Yes",IF('Mass Ion Calculations'!$D$7="Yes",'Mass Ion Calculations'!$D$18+'AA Exact Masses'!$Q$3-'Mass Ion Calculations'!$C$19-'Mass Ion Calculations'!$C14-'Mass Ion Calculations'!$D$5,'Mass Ion Calculations'!$F$18+'AA Exact Masses'!$Q$3-'Mass Ion Calculations'!$E$19-'Mass Ion Calculations'!$E14-'Mass Ion Calculations'!$D$5),IF('Mass Ion Calculations'!$D$7="Yes", 'Mass Ion Calculations'!$D$15+'AA Exact Masses'!$Q$3-'Mass Ion Calculations'!$C$19-'Mass Ion Calculations'!$C14-'Mass Ion Calculations'!$D$5,'Mass Ion Calculations'!$F$15+'AA Exact Masses'!$Q$3-'Mass Ion Calculations'!$E$19-'Mass Ion Calculations'!$E14-'Mass Ion Calculations'!$D$5)))</f>
        <v>417.80414999999994</v>
      </c>
      <c r="Q13" s="3">
        <f>IF(OR($B13="",Q$3=""),"",IF('Mass Ion Calculations'!$D$6="Yes",IF('Mass Ion Calculations'!$D$7="Yes",'Mass Ion Calculations'!$D$18+'AA Exact Masses'!$Q$3-'Mass Ion Calculations'!$C$20-'Mass Ion Calculations'!$C14-'Mass Ion Calculations'!$D$5,'Mass Ion Calculations'!$F$18+'AA Exact Masses'!$Q$3-'Mass Ion Calculations'!$E$20-'Mass Ion Calculations'!$E14-'Mass Ion Calculations'!$D$5),IF('Mass Ion Calculations'!$D$7="Yes", 'Mass Ion Calculations'!$D$15+'AA Exact Masses'!$Q$3-'Mass Ion Calculations'!$C$20-'Mass Ion Calculations'!$C14-'Mass Ion Calculations'!$D$5,'Mass Ion Calculations'!$F$15+'AA Exact Masses'!$Q$3-'Mass Ion Calculations'!$E$20-'Mass Ion Calculations'!$E14-'Mass Ion Calculations'!$D$5)))</f>
        <v>403.78850000000011</v>
      </c>
      <c r="R13" s="3" t="e">
        <f>IF(OR($B13="",R$3=""),"",IF('Mass Ion Calculations'!$D$6="Yes",IF('Mass Ion Calculations'!$D$7="Yes",'Mass Ion Calculations'!$D$18+'AA Exact Masses'!$Q$3-'Mass Ion Calculations'!$C$21-'Mass Ion Calculations'!$C14-'Mass Ion Calculations'!$D$5,'Mass Ion Calculations'!$F$18+'AA Exact Masses'!$Q$3-'Mass Ion Calculations'!$E$21-'Mass Ion Calculations'!$E14-'Mass Ion Calculations'!$D$5),IF('Mass Ion Calculations'!$D$7="Yes", 'Mass Ion Calculations'!$D$15+'AA Exact Masses'!$Q$3-'Mass Ion Calculations'!$C$21-'Mass Ion Calculations'!$C14-'Mass Ion Calculations'!$D$5,'Mass Ion Calculations'!$F$15+'AA Exact Masses'!$Q$3-'Mass Ion Calculations'!$E$21-'Mass Ion Calculations'!$E14-'Mass Ion Calculations'!$D$5)))</f>
        <v>#VALUE!</v>
      </c>
      <c r="S13" s="3" t="str">
        <f>IF(OR($B13="",S$3=""),"",IF('Mass Ion Calculations'!$D$6="Yes",IF('Mass Ion Calculations'!$D$7="Yes",'Mass Ion Calculations'!$D$18+'AA Exact Masses'!$Q$3-'Mass Ion Calculations'!$C$21-'Mass Ion Calculations'!$C14-'Mass Ion Calculations'!$D$5,'Mass Ion Calculations'!$F$18+'AA Exact Masses'!$Q$3-'Mass Ion Calculations'!$E$21-'Mass Ion Calculations'!$E14-'Mass Ion Calculations'!$D$5),IF('Mass Ion Calculations'!$D$7="Yes", 'Mass Ion Calculations'!$D$15+'AA Exact Masses'!$Q$3-'Mass Ion Calculations'!$C$21-'Mass Ion Calculations'!$C14-'Mass Ion Calculations'!$D$5,'Mass Ion Calculations'!$F$15+'AA Exact Masses'!$Q$3-'Mass Ion Calculations'!$E$21-'Mass Ion Calculations'!$E14-'Mass Ion Calculations'!$D$5)))</f>
        <v/>
      </c>
      <c r="T13" s="3" t="e">
        <f>IF(OR($B13="",T$3=""),"",IF('Mass Ion Calculations'!$D$6="Yes",IF('Mass Ion Calculations'!$D$7="Yes",'Mass Ion Calculations'!$D$18+'AA Exact Masses'!$Q$3-'Mass Ion Calculations'!$C$22-'Mass Ion Calculations'!$C14-'Mass Ion Calculations'!$D$5,'Mass Ion Calculations'!$F$18+'AA Exact Masses'!$Q$3-'Mass Ion Calculations'!$E$22-'Mass Ion Calculations'!$E15-'Mass Ion Calculations'!$D$5),IF('Mass Ion Calculations'!$D$7="Yes", 'Mass Ion Calculations'!$D$15+'AA Exact Masses'!$Q$3-'Mass Ion Calculations'!$C$22-'Mass Ion Calculations'!$C14-'Mass Ion Calculations'!$D$5,'Mass Ion Calculations'!$F$15+'AA Exact Masses'!$Q$3-'Mass Ion Calculations'!$E$22-'Mass Ion Calculations'!$E15-'Mass Ion Calculations'!$D$5)))</f>
        <v>#VALUE!</v>
      </c>
      <c r="U13" s="3" t="e">
        <f>IF(OR($B13="",U$3=""),"",IF('Mass Ion Calculations'!$D$6="Yes",IF('Mass Ion Calculations'!$D$7="Yes",'Mass Ion Calculations'!$D$18+'AA Exact Masses'!$Q$3-'Mass Ion Calculations'!$C$23-'Mass Ion Calculations'!$C14-'Mass Ion Calculations'!$D$5,'Mass Ion Calculations'!$F$18+'AA Exact Masses'!$Q$3-'Mass Ion Calculations'!$E$23-'Mass Ion Calculations'!$E15-'Mass Ion Calculations'!$D$5),IF('Mass Ion Calculations'!$D$7="Yes", 'Mass Ion Calculations'!$D$15+'AA Exact Masses'!$Q$3-'Mass Ion Calculations'!$C$23-'Mass Ion Calculations'!$C14-'Mass Ion Calculations'!$D$5,'Mass Ion Calculations'!$F$15+'AA Exact Masses'!$Q$3-'Mass Ion Calculations'!$E$23-'Mass Ion Calculations'!$E15-'Mass Ion Calculations'!$D$5)))</f>
        <v>#VALUE!</v>
      </c>
      <c r="V13" s="3" t="str">
        <f>IF(OR($B13="",V$3=""),"",IF('Mass Ion Calculations'!$D$6="Yes",IF('Mass Ion Calculations'!$D$7="Yes",'Mass Ion Calculations'!$D$18+'AA Exact Masses'!$Q$3-'Mass Ion Calculations'!$C$24-'Mass Ion Calculations'!$C14-'Mass Ion Calculations'!$D$5,'Mass Ion Calculations'!$F$18+'AA Exact Masses'!$Q$3-'Mass Ion Calculations'!$E$24-'Mass Ion Calculations'!$E15-'Mass Ion Calculations'!$D$5),IF('Mass Ion Calculations'!$D$7="Yes", 'Mass Ion Calculations'!$D$15+'AA Exact Masses'!$Q$3-'Mass Ion Calculations'!$C$24-'Mass Ion Calculations'!$C14-'Mass Ion Calculations'!$D$5,'Mass Ion Calculations'!$F$15+'AA Exact Masses'!$Q$3-'Mass Ion Calculations'!$E$24-'Mass Ion Calculations'!$E15-'Mass Ion Calculations'!$D$5)))</f>
        <v/>
      </c>
      <c r="W13" s="3" t="str">
        <f>IF(OR($B13="",W$3=""),"",IF('Mass Ion Calculations'!$D$6="Yes",IF('Mass Ion Calculations'!$D$7="Yes",'Mass Ion Calculations'!$D$18+'AA Exact Masses'!$Q$3-'Mass Ion Calculations'!$C$25-'Mass Ion Calculations'!$C14-'Mass Ion Calculations'!$D$5,'Mass Ion Calculations'!$F$18+'AA Exact Masses'!$Q$3-'Mass Ion Calculations'!$E$25-'Mass Ion Calculations'!$E15-'Mass Ion Calculations'!$D$5),IF('Mass Ion Calculations'!$D$7="Yes", 'Mass Ion Calculations'!$D$15+'AA Exact Masses'!$Q$3-'Mass Ion Calculations'!$C$25-'Mass Ion Calculations'!$C14-'Mass Ion Calculations'!$D$5,'Mass Ion Calculations'!$F$15+'AA Exact Masses'!$Q$3-'Mass Ion Calculations'!$E$25-'Mass Ion Calculations'!$E15-'Mass Ion Calculations'!$D$5)))</f>
        <v/>
      </c>
      <c r="X13" s="3" t="str">
        <f>IF(OR($B13="",X$3=""),"",IF('Mass Ion Calculations'!$D$6="Yes",IF('Mass Ion Calculations'!$D$7="Yes",'Mass Ion Calculations'!$D$18+'AA Exact Masses'!$Q$3-'Mass Ion Calculations'!$C$26-'Mass Ion Calculations'!$C14-'Mass Ion Calculations'!$D$5,'Mass Ion Calculations'!$F$18+'AA Exact Masses'!$Q$3-'Mass Ion Calculations'!$E$26-'Mass Ion Calculations'!$E15-'Mass Ion Calculations'!$D$5),IF('Mass Ion Calculations'!$D$7="Yes", 'Mass Ion Calculations'!$D$15+'AA Exact Masses'!$Q$3-'Mass Ion Calculations'!$C$26-'Mass Ion Calculations'!$C14-'Mass Ion Calculations'!$D$5,'Mass Ion Calculations'!$F$15+'AA Exact Masses'!$Q$3-'Mass Ion Calculations'!$E$26-'Mass Ion Calculations'!$E15-'Mass Ion Calculations'!$D$5)))</f>
        <v/>
      </c>
      <c r="Y13" s="3" t="str">
        <f>IF(OR($B13="",Y$3=""),"",IF('Mass Ion Calculations'!$D$6="Yes",IF('Mass Ion Calculations'!$D$7="Yes",'Mass Ion Calculations'!$D$18+'AA Exact Masses'!$Q$3-'Mass Ion Calculations'!$C$27-'Mass Ion Calculations'!$C14-'Mass Ion Calculations'!$D$5,'Mass Ion Calculations'!$F$18+'AA Exact Masses'!$Q$3-'Mass Ion Calculations'!$E$27-'Mass Ion Calculations'!$E15-'Mass Ion Calculations'!$D$5),IF('Mass Ion Calculations'!$D$7="Yes", 'Mass Ion Calculations'!$D$15+'AA Exact Masses'!$Q$3-'Mass Ion Calculations'!$C$27-'Mass Ion Calculations'!$C14-'Mass Ion Calculations'!$D$5,'Mass Ion Calculations'!$F$15+'AA Exact Masses'!$Q$3-'Mass Ion Calculations'!$E$27-'Mass Ion Calculations'!$E15-'Mass Ion Calculations'!$D$5)))</f>
        <v/>
      </c>
      <c r="Z13" s="3" t="str">
        <f>IF(OR($B13="",Z$3=""),"",IF('Mass Ion Calculations'!$D$6="Yes",IF('Mass Ion Calculations'!$D$7="Yes",'Mass Ion Calculations'!$D$18+'AA Exact Masses'!$Q$3-'Mass Ion Calculations'!$C$28-'Mass Ion Calculations'!$C14-'Mass Ion Calculations'!$D$5,'Mass Ion Calculations'!$F$18+'AA Exact Masses'!$Q$3-'Mass Ion Calculations'!$E$28-'Mass Ion Calculations'!$E15-'Mass Ion Calculations'!$D$5),IF('Mass Ion Calculations'!$D$7="Yes", 'Mass Ion Calculations'!$D$15+'AA Exact Masses'!$Q$3-'Mass Ion Calculations'!$C$28-'Mass Ion Calculations'!$C14-'Mass Ion Calculations'!$D$5,'Mass Ion Calculations'!$F$15+'AA Exact Masses'!$Q$3-'Mass Ion Calculations'!$E$28-'Mass Ion Calculations'!$E15-'Mass Ion Calculations'!$D$5)))</f>
        <v/>
      </c>
    </row>
    <row r="14" spans="2:26" x14ac:dyDescent="0.25">
      <c r="B14" s="4" t="str">
        <f>IF('Mass Ion Calculations'!B15="","",'Mass Ion Calculations'!B15)</f>
        <v>Asp(tBu)</v>
      </c>
      <c r="C14" s="3">
        <f>IF(OR($B14="",C$3=""),"",IF('Mass Ion Calculations'!$D$6="Yes",IF('Mass Ion Calculations'!$D$7="Yes",'Mass Ion Calculations'!$D$18+'AA Exact Masses'!$Q$3-'Mass Ion Calculations'!$C$5-'Mass Ion Calculations'!$C15-'Mass Ion Calculations'!$D$5,'Mass Ion Calculations'!$F$18+'AA Exact Masses'!$Q$3-'Mass Ion Calculations'!$E$5-'Mass Ion Calculations'!$E15-'Mass Ion Calculations'!$D$5),IF('Mass Ion Calculations'!$D$7="Yes", 'Mass Ion Calculations'!$D$15+'AA Exact Masses'!$Q$3-'Mass Ion Calculations'!$C$5-'Mass Ion Calculations'!$C15-'Mass Ion Calculations'!$D$5,'Mass Ion Calculations'!$F$15+'AA Exact Masses'!$Q$3-'Mass Ion Calculations'!$E$5-'Mass Ion Calculations'!$E15-'Mass Ion Calculations'!$D$5)))</f>
        <v>416.80889000000002</v>
      </c>
      <c r="D14" s="3">
        <f>IF(OR($B14="",D$3=""),"",IF('Mass Ion Calculations'!$D$6="Yes",IF('Mass Ion Calculations'!$D$7="Yes",'Mass Ion Calculations'!$D$18+'AA Exact Masses'!$Q$3-'Mass Ion Calculations'!$C$6-'Mass Ion Calculations'!$C15-'Mass Ion Calculations'!$D$5,'Mass Ion Calculations'!$F$18+'AA Exact Masses'!$Q$3-'Mass Ion Calculations'!$E$6-'Mass Ion Calculations'!$E15-'Mass Ion Calculations'!$D$5),IF('Mass Ion Calculations'!$D$7="Yes", 'Mass Ion Calculations'!$D$15+'AA Exact Masses'!$Q$3-'Mass Ion Calculations'!$C$6-'Mass Ion Calculations'!$C15-'Mass Ion Calculations'!$D$5,'Mass Ion Calculations'!$F$15+'AA Exact Masses'!$Q$3-'Mass Ion Calculations'!$E$6-'Mass Ion Calculations'!$E15-'Mass Ion Calculations'!$D$5)))</f>
        <v>459.85110000000009</v>
      </c>
      <c r="E14" s="3">
        <f>IF(OR($B14="",E$3=""),"",IF('Mass Ion Calculations'!$D$6="Yes",IF('Mass Ion Calculations'!$D$7="Yes",'Mass Ion Calculations'!$D$18+'AA Exact Masses'!$Q$3-'Mass Ion Calculations'!$C$7-'Mass Ion Calculations'!$C15-'Mass Ion Calculations'!$D$5,'Mass Ion Calculations'!$F$18+'AA Exact Masses'!$Q$3-'Mass Ion Calculations'!$E$7-'Mass Ion Calculations'!$E15-'Mass Ion Calculations'!$D$5),IF('Mass Ion Calculations'!$D$7="Yes", 'Mass Ion Calculations'!$D$15+'AA Exact Masses'!$Q$3-'Mass Ion Calculations'!$C$7-'Mass Ion Calculations'!$C15-'Mass Ion Calculations'!$D$5,'Mass Ion Calculations'!$F$15+'AA Exact Masses'!$Q$3-'Mass Ion Calculations'!$E$7-'Mass Ion Calculations'!$E15-'Mass Ion Calculations'!$D$5)))</f>
        <v>417.80415000000016</v>
      </c>
      <c r="F14" s="3">
        <f>IF(OR($B14="",F$3=""),"",IF('Mass Ion Calculations'!$D$6="Yes",IF('Mass Ion Calculations'!$D$7="Yes",'Mass Ion Calculations'!$D$18+'AA Exact Masses'!$Q$3-'Mass Ion Calculations'!$C$8-'Mass Ion Calculations'!$C15-'Mass Ion Calculations'!$D$5,'Mass Ion Calculations'!$F$18+'AA Exact Masses'!$Q$3-'Mass Ion Calculations'!$E$8-'Mass Ion Calculations'!$E15-'Mass Ion Calculations'!$D$5),IF('Mass Ion Calculations'!$D$7="Yes", 'Mass Ion Calculations'!$D$15+'AA Exact Masses'!$Q$3-'Mass Ion Calculations'!$C$8-'Mass Ion Calculations'!$C15-'Mass Ion Calculations'!$D$5,'Mass Ion Calculations'!$F$15+'AA Exact Masses'!$Q$3-'Mass Ion Calculations'!$E$8-'Mass Ion Calculations'!$E15-'Mass Ion Calculations'!$D$5)))</f>
        <v>417.80415000000016</v>
      </c>
      <c r="G14" s="3">
        <f>IF(OR($B14="",G$3=""),"",IF('Mass Ion Calculations'!$D$6="Yes",IF('Mass Ion Calculations'!$D$7="Yes",'Mass Ion Calculations'!$D$18+'AA Exact Masses'!$Q$3-'Mass Ion Calculations'!$C$9-'Mass Ion Calculations'!$C15-'Mass Ion Calculations'!$D$5,'Mass Ion Calculations'!$F$18+'AA Exact Masses'!$Q$3-'Mass Ion Calculations'!$E$9-'Mass Ion Calculations'!$E15-'Mass Ion Calculations'!$D$5),IF('Mass Ion Calculations'!$D$7="Yes", 'Mass Ion Calculations'!$D$15+'AA Exact Masses'!$Q$3-'Mass Ion Calculations'!$C$9-'Mass Ion Calculations'!$C15-'Mass Ion Calculations'!$D$5,'Mass Ion Calculations'!$F$15+'AA Exact Masses'!$Q$3-'Mass Ion Calculations'!$E$9-'Mass Ion Calculations'!$E15-'Mass Ion Calculations'!$D$5)))</f>
        <v>459.85110000000009</v>
      </c>
      <c r="H14" s="3">
        <f>IF(OR($B14="",H$3=""),"",IF('Mass Ion Calculations'!$D$6="Yes",IF('Mass Ion Calculations'!$D$7="Yes",'Mass Ion Calculations'!$D$18+'AA Exact Masses'!$Q$3-'Mass Ion Calculations'!$C$10-'Mass Ion Calculations'!$C15-'Mass Ion Calculations'!$D$5,'Mass Ion Calculations'!$F$18+'AA Exact Masses'!$Q$3-'Mass Ion Calculations'!$E$10-'Mass Ion Calculations'!$E15-'Mass Ion Calculations'!$D$5),IF('Mass Ion Calculations'!$D$7="Yes", 'Mass Ion Calculations'!$D$15+'AA Exact Masses'!$Q$3-'Mass Ion Calculations'!$C$10-'Mass Ion Calculations'!$C15-'Mass Ion Calculations'!$D$5,'Mass Ion Calculations'!$F$15+'AA Exact Masses'!$Q$3-'Mass Ion Calculations'!$E$10-'Mass Ion Calculations'!$E15-'Mass Ion Calculations'!$D$5)))</f>
        <v>417.80415000000016</v>
      </c>
      <c r="I14" s="3">
        <f>IF(OR($B14="",I$3=""),"",IF('Mass Ion Calculations'!$D$6="Yes",IF('Mass Ion Calculations'!$D$7="Yes",'Mass Ion Calculations'!$D$18+'AA Exact Masses'!$Q$3-'Mass Ion Calculations'!$C$11-'Mass Ion Calculations'!$C15-'Mass Ion Calculations'!$D$5,'Mass Ion Calculations'!$F$18+'AA Exact Masses'!$Q$3-'Mass Ion Calculations'!$E$11-'Mass Ion Calculations'!$E15-'Mass Ion Calculations'!$D$5),IF('Mass Ion Calculations'!$D$7="Yes", 'Mass Ion Calculations'!$D$15+'AA Exact Masses'!$Q$3-'Mass Ion Calculations'!$C$11-'Mass Ion Calculations'!$C15-'Mass Ion Calculations'!$D$5,'Mass Ion Calculations'!$F$15+'AA Exact Masses'!$Q$3-'Mass Ion Calculations'!$E$11-'Mass Ion Calculations'!$E15-'Mass Ion Calculations'!$D$5)))</f>
        <v>416.80889000000002</v>
      </c>
      <c r="J14" s="3">
        <f>IF(OR($B14="",J$3=""),"",IF('Mass Ion Calculations'!$D$6="Yes",IF('Mass Ion Calculations'!$D$7="Yes",'Mass Ion Calculations'!$D$18+'AA Exact Masses'!$Q$3-'Mass Ion Calculations'!$C$12-'Mass Ion Calculations'!$C15-'Mass Ion Calculations'!$D$5,'Mass Ion Calculations'!$F$18+'AA Exact Masses'!$Q$3-'Mass Ion Calculations'!$E$12-'Mass Ion Calculations'!$E15-'Mass Ion Calculations'!$D$5),IF('Mass Ion Calculations'!$D$7="Yes", 'Mass Ion Calculations'!$D$15+'AA Exact Masses'!$Q$3-'Mass Ion Calculations'!$C$12-'Mass Ion Calculations'!$C15-'Mass Ion Calculations'!$D$5,'Mass Ion Calculations'!$F$15+'AA Exact Masses'!$Q$3-'Mass Ion Calculations'!$E$12-'Mass Ion Calculations'!$E15-'Mass Ion Calculations'!$D$5)))</f>
        <v>431.81979999999999</v>
      </c>
      <c r="K14" s="3">
        <f>IF(OR($B14="",K$3=""),"",IF('Mass Ion Calculations'!$D$6="Yes",IF('Mass Ion Calculations'!$D$7="Yes",'Mass Ion Calculations'!$D$18+'AA Exact Masses'!$Q$3-'Mass Ion Calculations'!$C$13-'Mass Ion Calculations'!$C15-'Mass Ion Calculations'!$D$5,'Mass Ion Calculations'!$F$18+'AA Exact Masses'!$Q$3-'Mass Ion Calculations'!$E$14-'Mass Ion Calculations'!$E15-'Mass Ion Calculations'!$D$5),IF('Mass Ion Calculations'!$D$7="Yes", 'Mass Ion Calculations'!$D$15+'AA Exact Masses'!$Q$3-'Mass Ion Calculations'!$C$13-'Mass Ion Calculations'!$C15-'Mass Ion Calculations'!$D$5,'Mass Ion Calculations'!$F$15+'AA Exact Masses'!$Q$3-'Mass Ion Calculations'!$E$14-'Mass Ion Calculations'!$E15-'Mass Ion Calculations'!$D$5)))</f>
        <v>401.84562000000005</v>
      </c>
      <c r="L14" s="3">
        <f>IF(OR($B14="",L$3=""),"",IF('Mass Ion Calculations'!$D$6="Yes",IF('Mass Ion Calculations'!$D$7="Yes",'Mass Ion Calculations'!$D$18+'AA Exact Masses'!$Q$3-'Mass Ion Calculations'!$C$14-'Mass Ion Calculations'!$C15-'Mass Ion Calculations'!$D$5,'Mass Ion Calculations'!$F$18+'AA Exact Masses'!$Q$3-'Mass Ion Calculations'!$E$15-'Mass Ion Calculations'!$E15-'Mass Ion Calculations'!$D$5),IF('Mass Ion Calculations'!$D$7="Yes", 'Mass Ion Calculations'!$D$15+'AA Exact Masses'!$Q$3-'Mass Ion Calculations'!$C$14-'Mass Ion Calculations'!$C15-'Mass Ion Calculations'!$D$5,'Mass Ion Calculations'!$F$15+'AA Exact Masses'!$Q$3-'Mass Ion Calculations'!$E$15-'Mass Ion Calculations'!$E15-'Mass Ion Calculations'!$D$5)))</f>
        <v>415.8612700000001</v>
      </c>
      <c r="M14" s="3">
        <f>IF(OR($B14="",M$3=""),"",IF('Mass Ion Calculations'!$D$6="Yes",IF('Mass Ion Calculations'!$D$7="Yes",'Mass Ion Calculations'!$D$18+'AA Exact Masses'!$Q$3-'Mass Ion Calculations'!$C$15-'Mass Ion Calculations'!$C15-'Mass Ion Calculations'!$D$5,'Mass Ion Calculations'!$F$18+'AA Exact Masses'!$Q$3-'Mass Ion Calculations'!$E$16-'Mass Ion Calculations'!$E15-'Mass Ion Calculations'!$D$5),IF('Mass Ion Calculations'!$D$7="Yes", 'Mass Ion Calculations'!$D$15+'AA Exact Masses'!$Q$3-'Mass Ion Calculations'!$C$15-'Mass Ion Calculations'!$C15-'Mass Ion Calculations'!$D$5,'Mass Ion Calculations'!$F$15+'AA Exact Masses'!$Q$3-'Mass Ion Calculations'!$E$16-'Mass Ion Calculations'!$E15-'Mass Ion Calculations'!$D$5)))</f>
        <v>459.85110000000009</v>
      </c>
      <c r="N14" s="3">
        <f>IF(OR($B14="",N$3=""),"",IF('Mass Ion Calculations'!$D$6="Yes",IF('Mass Ion Calculations'!$D$7="Yes",'Mass Ion Calculations'!$D$18+'AA Exact Masses'!$Q$3-'Mass Ion Calculations'!$C$16-'Mass Ion Calculations'!$C15-'Mass Ion Calculations'!$D$5,'Mass Ion Calculations'!$F$18+'AA Exact Masses'!$Q$3-'Mass Ion Calculations'!$E$17-'Mass Ion Calculations'!$E15-'Mass Ion Calculations'!$D$5),IF('Mass Ion Calculations'!$D$7="Yes", 'Mass Ion Calculations'!$D$15+'AA Exact Masses'!$Q$3-'Mass Ion Calculations'!$C$16-'Mass Ion Calculations'!$C15-'Mass Ion Calculations'!$D$5,'Mass Ion Calculations'!$F$15+'AA Exact Masses'!$Q$3-'Mass Ion Calculations'!$E$17-'Mass Ion Calculations'!$E15-'Mass Ion Calculations'!$D$5)))</f>
        <v>383.81979999999999</v>
      </c>
      <c r="O14" s="3">
        <f>IF(OR($B14="",O$3=""),"",IF('Mass Ion Calculations'!$D$6="Yes",IF('Mass Ion Calculations'!$D$7="Yes",'Mass Ion Calculations'!$D$18+'AA Exact Masses'!$Q$3-'Mass Ion Calculations'!$C$17-'Mass Ion Calculations'!$C15-'Mass Ion Calculations'!$D$5,'Mass Ion Calculations'!$F$18+'AA Exact Masses'!$Q$3-'Mass Ion Calculations'!$E$18-'Mass Ion Calculations'!$E15-'Mass Ion Calculations'!$D$5),IF('Mass Ion Calculations'!$D$7="Yes", 'Mass Ion Calculations'!$D$15+'AA Exact Masses'!$Q$3-'Mass Ion Calculations'!$C$17-'Mass Ion Calculations'!$C15-'Mass Ion Calculations'!$D$5,'Mass Ion Calculations'!$F$15+'AA Exact Masses'!$Q$3-'Mass Ion Calculations'!$E$18-'Mass Ion Calculations'!$E15-'Mass Ion Calculations'!$D$5)))</f>
        <v>257.92315000000008</v>
      </c>
      <c r="P14" s="3">
        <f>IF(OR($B14="",P$3=""),"",IF('Mass Ion Calculations'!$D$6="Yes",IF('Mass Ion Calculations'!$D$7="Yes",'Mass Ion Calculations'!$D$18+'AA Exact Masses'!$Q$3-'Mass Ion Calculations'!$C$19-'Mass Ion Calculations'!$C15-'Mass Ion Calculations'!$D$5,'Mass Ion Calculations'!$F$18+'AA Exact Masses'!$Q$3-'Mass Ion Calculations'!$E$19-'Mass Ion Calculations'!$E15-'Mass Ion Calculations'!$D$5),IF('Mass Ion Calculations'!$D$7="Yes", 'Mass Ion Calculations'!$D$15+'AA Exact Masses'!$Q$3-'Mass Ion Calculations'!$C$19-'Mass Ion Calculations'!$C15-'Mass Ion Calculations'!$D$5,'Mass Ion Calculations'!$F$15+'AA Exact Masses'!$Q$3-'Mass Ion Calculations'!$E$19-'Mass Ion Calculations'!$E15-'Mass Ion Calculations'!$D$5)))</f>
        <v>431.81979999999999</v>
      </c>
      <c r="Q14" s="3">
        <f>IF(OR($B14="",Q$3=""),"",IF('Mass Ion Calculations'!$D$6="Yes",IF('Mass Ion Calculations'!$D$7="Yes",'Mass Ion Calculations'!$D$18+'AA Exact Masses'!$Q$3-'Mass Ion Calculations'!$C$20-'Mass Ion Calculations'!$C15-'Mass Ion Calculations'!$D$5,'Mass Ion Calculations'!$F$18+'AA Exact Masses'!$Q$3-'Mass Ion Calculations'!$E$20-'Mass Ion Calculations'!$E15-'Mass Ion Calculations'!$D$5),IF('Mass Ion Calculations'!$D$7="Yes", 'Mass Ion Calculations'!$D$15+'AA Exact Masses'!$Q$3-'Mass Ion Calculations'!$C$20-'Mass Ion Calculations'!$C15-'Mass Ion Calculations'!$D$5,'Mass Ion Calculations'!$F$15+'AA Exact Masses'!$Q$3-'Mass Ion Calculations'!$E$20-'Mass Ion Calculations'!$E15-'Mass Ion Calculations'!$D$5)))</f>
        <v>417.80415000000016</v>
      </c>
      <c r="R14" s="3" t="e">
        <f>IF(OR($B14="",R$3=""),"",IF('Mass Ion Calculations'!$D$6="Yes",IF('Mass Ion Calculations'!$D$7="Yes",'Mass Ion Calculations'!$D$18+'AA Exact Masses'!$Q$3-'Mass Ion Calculations'!$C$21-'Mass Ion Calculations'!$C15-'Mass Ion Calculations'!$D$5,'Mass Ion Calculations'!$F$18+'AA Exact Masses'!$Q$3-'Mass Ion Calculations'!$E$21-'Mass Ion Calculations'!$E15-'Mass Ion Calculations'!$D$5),IF('Mass Ion Calculations'!$D$7="Yes", 'Mass Ion Calculations'!$D$15+'AA Exact Masses'!$Q$3-'Mass Ion Calculations'!$C$21-'Mass Ion Calculations'!$C15-'Mass Ion Calculations'!$D$5,'Mass Ion Calculations'!$F$15+'AA Exact Masses'!$Q$3-'Mass Ion Calculations'!$E$21-'Mass Ion Calculations'!$E15-'Mass Ion Calculations'!$D$5)))</f>
        <v>#VALUE!</v>
      </c>
      <c r="S14" s="3" t="str">
        <f>IF(OR($B14="",S$3=""),"",IF('Mass Ion Calculations'!$D$6="Yes",IF('Mass Ion Calculations'!$D$7="Yes",'Mass Ion Calculations'!$D$18+'AA Exact Masses'!$Q$3-'Mass Ion Calculations'!$C$21-'Mass Ion Calculations'!$C15-'Mass Ion Calculations'!$D$5,'Mass Ion Calculations'!$F$18+'AA Exact Masses'!$Q$3-'Mass Ion Calculations'!$E$21-'Mass Ion Calculations'!$E15-'Mass Ion Calculations'!$D$5),IF('Mass Ion Calculations'!$D$7="Yes", 'Mass Ion Calculations'!$D$15+'AA Exact Masses'!$Q$3-'Mass Ion Calculations'!$C$21-'Mass Ion Calculations'!$C15-'Mass Ion Calculations'!$D$5,'Mass Ion Calculations'!$F$15+'AA Exact Masses'!$Q$3-'Mass Ion Calculations'!$E$21-'Mass Ion Calculations'!$E15-'Mass Ion Calculations'!$D$5)))</f>
        <v/>
      </c>
      <c r="T14" s="3" t="e">
        <f>IF(OR($B14="",T$3=""),"",IF('Mass Ion Calculations'!$D$6="Yes",IF('Mass Ion Calculations'!$D$7="Yes",'Mass Ion Calculations'!$D$18+'AA Exact Masses'!$Q$3-'Mass Ion Calculations'!$C$22-'Mass Ion Calculations'!$C15-'Mass Ion Calculations'!$D$5,'Mass Ion Calculations'!$F$18+'AA Exact Masses'!$Q$3-'Mass Ion Calculations'!$E$22-'Mass Ion Calculations'!$E16-'Mass Ion Calculations'!$D$5),IF('Mass Ion Calculations'!$D$7="Yes", 'Mass Ion Calculations'!$D$15+'AA Exact Masses'!$Q$3-'Mass Ion Calculations'!$C$22-'Mass Ion Calculations'!$C15-'Mass Ion Calculations'!$D$5,'Mass Ion Calculations'!$F$15+'AA Exact Masses'!$Q$3-'Mass Ion Calculations'!$E$22-'Mass Ion Calculations'!$E16-'Mass Ion Calculations'!$D$5)))</f>
        <v>#VALUE!</v>
      </c>
      <c r="U14" s="3" t="e">
        <f>IF(OR($B14="",U$3=""),"",IF('Mass Ion Calculations'!$D$6="Yes",IF('Mass Ion Calculations'!$D$7="Yes",'Mass Ion Calculations'!$D$18+'AA Exact Masses'!$Q$3-'Mass Ion Calculations'!$C$23-'Mass Ion Calculations'!$C15-'Mass Ion Calculations'!$D$5,'Mass Ion Calculations'!$F$18+'AA Exact Masses'!$Q$3-'Mass Ion Calculations'!$E$23-'Mass Ion Calculations'!$E16-'Mass Ion Calculations'!$D$5),IF('Mass Ion Calculations'!$D$7="Yes", 'Mass Ion Calculations'!$D$15+'AA Exact Masses'!$Q$3-'Mass Ion Calculations'!$C$23-'Mass Ion Calculations'!$C15-'Mass Ion Calculations'!$D$5,'Mass Ion Calculations'!$F$15+'AA Exact Masses'!$Q$3-'Mass Ion Calculations'!$E$23-'Mass Ion Calculations'!$E16-'Mass Ion Calculations'!$D$5)))</f>
        <v>#VALUE!</v>
      </c>
      <c r="V14" s="3" t="str">
        <f>IF(OR($B14="",V$3=""),"",IF('Mass Ion Calculations'!$D$6="Yes",IF('Mass Ion Calculations'!$D$7="Yes",'Mass Ion Calculations'!$D$18+'AA Exact Masses'!$Q$3-'Mass Ion Calculations'!$C$24-'Mass Ion Calculations'!$C15-'Mass Ion Calculations'!$D$5,'Mass Ion Calculations'!$F$18+'AA Exact Masses'!$Q$3-'Mass Ion Calculations'!$E$24-'Mass Ion Calculations'!$E16-'Mass Ion Calculations'!$D$5),IF('Mass Ion Calculations'!$D$7="Yes", 'Mass Ion Calculations'!$D$15+'AA Exact Masses'!$Q$3-'Mass Ion Calculations'!$C$24-'Mass Ion Calculations'!$C15-'Mass Ion Calculations'!$D$5,'Mass Ion Calculations'!$F$15+'AA Exact Masses'!$Q$3-'Mass Ion Calculations'!$E$24-'Mass Ion Calculations'!$E16-'Mass Ion Calculations'!$D$5)))</f>
        <v/>
      </c>
      <c r="W14" s="3" t="str">
        <f>IF(OR($B14="",W$3=""),"",IF('Mass Ion Calculations'!$D$6="Yes",IF('Mass Ion Calculations'!$D$7="Yes",'Mass Ion Calculations'!$D$18+'AA Exact Masses'!$Q$3-'Mass Ion Calculations'!$C$25-'Mass Ion Calculations'!$C15-'Mass Ion Calculations'!$D$5,'Mass Ion Calculations'!$F$18+'AA Exact Masses'!$Q$3-'Mass Ion Calculations'!$E$25-'Mass Ion Calculations'!$E16-'Mass Ion Calculations'!$D$5),IF('Mass Ion Calculations'!$D$7="Yes", 'Mass Ion Calculations'!$D$15+'AA Exact Masses'!$Q$3-'Mass Ion Calculations'!$C$25-'Mass Ion Calculations'!$C15-'Mass Ion Calculations'!$D$5,'Mass Ion Calculations'!$F$15+'AA Exact Masses'!$Q$3-'Mass Ion Calculations'!$E$25-'Mass Ion Calculations'!$E16-'Mass Ion Calculations'!$D$5)))</f>
        <v/>
      </c>
      <c r="X14" s="3" t="str">
        <f>IF(OR($B14="",X$3=""),"",IF('Mass Ion Calculations'!$D$6="Yes",IF('Mass Ion Calculations'!$D$7="Yes",'Mass Ion Calculations'!$D$18+'AA Exact Masses'!$Q$3-'Mass Ion Calculations'!$C$26-'Mass Ion Calculations'!$C15-'Mass Ion Calculations'!$D$5,'Mass Ion Calculations'!$F$18+'AA Exact Masses'!$Q$3-'Mass Ion Calculations'!$E$26-'Mass Ion Calculations'!$E16-'Mass Ion Calculations'!$D$5),IF('Mass Ion Calculations'!$D$7="Yes", 'Mass Ion Calculations'!$D$15+'AA Exact Masses'!$Q$3-'Mass Ion Calculations'!$C$26-'Mass Ion Calculations'!$C15-'Mass Ion Calculations'!$D$5,'Mass Ion Calculations'!$F$15+'AA Exact Masses'!$Q$3-'Mass Ion Calculations'!$E$26-'Mass Ion Calculations'!$E16-'Mass Ion Calculations'!$D$5)))</f>
        <v/>
      </c>
      <c r="Y14" s="3" t="str">
        <f>IF(OR($B14="",Y$3=""),"",IF('Mass Ion Calculations'!$D$6="Yes",IF('Mass Ion Calculations'!$D$7="Yes",'Mass Ion Calculations'!$D$18+'AA Exact Masses'!$Q$3-'Mass Ion Calculations'!$C$27-'Mass Ion Calculations'!$C15-'Mass Ion Calculations'!$D$5,'Mass Ion Calculations'!$F$18+'AA Exact Masses'!$Q$3-'Mass Ion Calculations'!$E$27-'Mass Ion Calculations'!$E16-'Mass Ion Calculations'!$D$5),IF('Mass Ion Calculations'!$D$7="Yes", 'Mass Ion Calculations'!$D$15+'AA Exact Masses'!$Q$3-'Mass Ion Calculations'!$C$27-'Mass Ion Calculations'!$C15-'Mass Ion Calculations'!$D$5,'Mass Ion Calculations'!$F$15+'AA Exact Masses'!$Q$3-'Mass Ion Calculations'!$E$27-'Mass Ion Calculations'!$E16-'Mass Ion Calculations'!$D$5)))</f>
        <v/>
      </c>
      <c r="Z14" s="3" t="str">
        <f>IF(OR($B14="",Z$3=""),"",IF('Mass Ion Calculations'!$D$6="Yes",IF('Mass Ion Calculations'!$D$7="Yes",'Mass Ion Calculations'!$D$18+'AA Exact Masses'!$Q$3-'Mass Ion Calculations'!$C$28-'Mass Ion Calculations'!$C15-'Mass Ion Calculations'!$D$5,'Mass Ion Calculations'!$F$18+'AA Exact Masses'!$Q$3-'Mass Ion Calculations'!$E$28-'Mass Ion Calculations'!$E16-'Mass Ion Calculations'!$D$5),IF('Mass Ion Calculations'!$D$7="Yes", 'Mass Ion Calculations'!$D$15+'AA Exact Masses'!$Q$3-'Mass Ion Calculations'!$C$28-'Mass Ion Calculations'!$C15-'Mass Ion Calculations'!$D$5,'Mass Ion Calculations'!$F$15+'AA Exact Masses'!$Q$3-'Mass Ion Calculations'!$E$28-'Mass Ion Calculations'!$E16-'Mass Ion Calculations'!$D$5)))</f>
        <v/>
      </c>
    </row>
    <row r="15" spans="2:26" x14ac:dyDescent="0.25">
      <c r="B15" s="4" t="str">
        <f>IF('Mass Ion Calculations'!B16="","",'Mass Ion Calculations'!B16)</f>
        <v>Ala</v>
      </c>
      <c r="C15" s="3">
        <f>IF(OR($B15="",C$3=""),"",IF('Mass Ion Calculations'!$D$6="Yes",IF('Mass Ion Calculations'!$D$7="Yes",'Mass Ion Calculations'!$D$18+'AA Exact Masses'!$Q$3-'Mass Ion Calculations'!$C$5-'Mass Ion Calculations'!$C16-'Mass Ion Calculations'!$D$5,'Mass Ion Calculations'!$F$18+'AA Exact Masses'!$Q$3-'Mass Ion Calculations'!$E$5-'Mass Ion Calculations'!$E16-'Mass Ion Calculations'!$D$5),IF('Mass Ion Calculations'!$D$7="Yes", 'Mass Ion Calculations'!$D$15+'AA Exact Masses'!$Q$3-'Mass Ion Calculations'!$C$5-'Mass Ion Calculations'!$C16-'Mass Ion Calculations'!$D$5,'Mass Ion Calculations'!$F$15+'AA Exact Masses'!$Q$3-'Mass Ion Calculations'!$E$5-'Mass Ion Calculations'!$E16-'Mass Ion Calculations'!$D$5)))</f>
        <v>460.79872</v>
      </c>
      <c r="D15" s="3">
        <f>IF(OR($B15="",D$3=""),"",IF('Mass Ion Calculations'!$D$6="Yes",IF('Mass Ion Calculations'!$D$7="Yes",'Mass Ion Calculations'!$D$18+'AA Exact Masses'!$Q$3-'Mass Ion Calculations'!$C$6-'Mass Ion Calculations'!$C16-'Mass Ion Calculations'!$D$5,'Mass Ion Calculations'!$F$18+'AA Exact Masses'!$Q$3-'Mass Ion Calculations'!$E$6-'Mass Ion Calculations'!$E16-'Mass Ion Calculations'!$D$5),IF('Mass Ion Calculations'!$D$7="Yes", 'Mass Ion Calculations'!$D$15+'AA Exact Masses'!$Q$3-'Mass Ion Calculations'!$C$6-'Mass Ion Calculations'!$C16-'Mass Ion Calculations'!$D$5,'Mass Ion Calculations'!$F$15+'AA Exact Masses'!$Q$3-'Mass Ion Calculations'!$E$6-'Mass Ion Calculations'!$E16-'Mass Ion Calculations'!$D$5)))</f>
        <v>503.84093000000007</v>
      </c>
      <c r="E15" s="3">
        <f>IF(OR($B15="",E$3=""),"",IF('Mass Ion Calculations'!$D$6="Yes",IF('Mass Ion Calculations'!$D$7="Yes",'Mass Ion Calculations'!$D$18+'AA Exact Masses'!$Q$3-'Mass Ion Calculations'!$C$7-'Mass Ion Calculations'!$C16-'Mass Ion Calculations'!$D$5,'Mass Ion Calculations'!$F$18+'AA Exact Masses'!$Q$3-'Mass Ion Calculations'!$E$7-'Mass Ion Calculations'!$E16-'Mass Ion Calculations'!$D$5),IF('Mass Ion Calculations'!$D$7="Yes", 'Mass Ion Calculations'!$D$15+'AA Exact Masses'!$Q$3-'Mass Ion Calculations'!$C$7-'Mass Ion Calculations'!$C16-'Mass Ion Calculations'!$D$5,'Mass Ion Calculations'!$F$15+'AA Exact Masses'!$Q$3-'Mass Ion Calculations'!$E$7-'Mass Ion Calculations'!$E16-'Mass Ion Calculations'!$D$5)))</f>
        <v>461.79398000000015</v>
      </c>
      <c r="F15" s="3">
        <f>IF(OR($B15="",F$3=""),"",IF('Mass Ion Calculations'!$D$6="Yes",IF('Mass Ion Calculations'!$D$7="Yes",'Mass Ion Calculations'!$D$18+'AA Exact Masses'!$Q$3-'Mass Ion Calculations'!$C$8-'Mass Ion Calculations'!$C16-'Mass Ion Calculations'!$D$5,'Mass Ion Calculations'!$F$18+'AA Exact Masses'!$Q$3-'Mass Ion Calculations'!$E$8-'Mass Ion Calculations'!$E16-'Mass Ion Calculations'!$D$5),IF('Mass Ion Calculations'!$D$7="Yes", 'Mass Ion Calculations'!$D$15+'AA Exact Masses'!$Q$3-'Mass Ion Calculations'!$C$8-'Mass Ion Calculations'!$C16-'Mass Ion Calculations'!$D$5,'Mass Ion Calculations'!$F$15+'AA Exact Masses'!$Q$3-'Mass Ion Calculations'!$E$8-'Mass Ion Calculations'!$E16-'Mass Ion Calculations'!$D$5)))</f>
        <v>461.79398000000015</v>
      </c>
      <c r="G15" s="3">
        <f>IF(OR($B15="",G$3=""),"",IF('Mass Ion Calculations'!$D$6="Yes",IF('Mass Ion Calculations'!$D$7="Yes",'Mass Ion Calculations'!$D$18+'AA Exact Masses'!$Q$3-'Mass Ion Calculations'!$C$9-'Mass Ion Calculations'!$C16-'Mass Ion Calculations'!$D$5,'Mass Ion Calculations'!$F$18+'AA Exact Masses'!$Q$3-'Mass Ion Calculations'!$E$9-'Mass Ion Calculations'!$E16-'Mass Ion Calculations'!$D$5),IF('Mass Ion Calculations'!$D$7="Yes", 'Mass Ion Calculations'!$D$15+'AA Exact Masses'!$Q$3-'Mass Ion Calculations'!$C$9-'Mass Ion Calculations'!$C16-'Mass Ion Calculations'!$D$5,'Mass Ion Calculations'!$F$15+'AA Exact Masses'!$Q$3-'Mass Ion Calculations'!$E$9-'Mass Ion Calculations'!$E16-'Mass Ion Calculations'!$D$5)))</f>
        <v>503.84093000000007</v>
      </c>
      <c r="H15" s="3">
        <f>IF(OR($B15="",H$3=""),"",IF('Mass Ion Calculations'!$D$6="Yes",IF('Mass Ion Calculations'!$D$7="Yes",'Mass Ion Calculations'!$D$18+'AA Exact Masses'!$Q$3-'Mass Ion Calculations'!$C$10-'Mass Ion Calculations'!$C16-'Mass Ion Calculations'!$D$5,'Mass Ion Calculations'!$F$18+'AA Exact Masses'!$Q$3-'Mass Ion Calculations'!$E$10-'Mass Ion Calculations'!$E16-'Mass Ion Calculations'!$D$5),IF('Mass Ion Calculations'!$D$7="Yes", 'Mass Ion Calculations'!$D$15+'AA Exact Masses'!$Q$3-'Mass Ion Calculations'!$C$10-'Mass Ion Calculations'!$C16-'Mass Ion Calculations'!$D$5,'Mass Ion Calculations'!$F$15+'AA Exact Masses'!$Q$3-'Mass Ion Calculations'!$E$10-'Mass Ion Calculations'!$E16-'Mass Ion Calculations'!$D$5)))</f>
        <v>461.79398000000015</v>
      </c>
      <c r="I15" s="3">
        <f>IF(OR($B15="",I$3=""),"",IF('Mass Ion Calculations'!$D$6="Yes",IF('Mass Ion Calculations'!$D$7="Yes",'Mass Ion Calculations'!$D$18+'AA Exact Masses'!$Q$3-'Mass Ion Calculations'!$C$11-'Mass Ion Calculations'!$C16-'Mass Ion Calculations'!$D$5,'Mass Ion Calculations'!$F$18+'AA Exact Masses'!$Q$3-'Mass Ion Calculations'!$E$11-'Mass Ion Calculations'!$E16-'Mass Ion Calculations'!$D$5),IF('Mass Ion Calculations'!$D$7="Yes", 'Mass Ion Calculations'!$D$15+'AA Exact Masses'!$Q$3-'Mass Ion Calculations'!$C$11-'Mass Ion Calculations'!$C16-'Mass Ion Calculations'!$D$5,'Mass Ion Calculations'!$F$15+'AA Exact Masses'!$Q$3-'Mass Ion Calculations'!$E$11-'Mass Ion Calculations'!$E16-'Mass Ion Calculations'!$D$5)))</f>
        <v>460.79872</v>
      </c>
      <c r="J15" s="3">
        <f>IF(OR($B15="",J$3=""),"",IF('Mass Ion Calculations'!$D$6="Yes",IF('Mass Ion Calculations'!$D$7="Yes",'Mass Ion Calculations'!$D$18+'AA Exact Masses'!$Q$3-'Mass Ion Calculations'!$C$12-'Mass Ion Calculations'!$C16-'Mass Ion Calculations'!$D$5,'Mass Ion Calculations'!$F$18+'AA Exact Masses'!$Q$3-'Mass Ion Calculations'!$E$12-'Mass Ion Calculations'!$E16-'Mass Ion Calculations'!$D$5),IF('Mass Ion Calculations'!$D$7="Yes", 'Mass Ion Calculations'!$D$15+'AA Exact Masses'!$Q$3-'Mass Ion Calculations'!$C$12-'Mass Ion Calculations'!$C16-'Mass Ion Calculations'!$D$5,'Mass Ion Calculations'!$F$15+'AA Exact Masses'!$Q$3-'Mass Ion Calculations'!$E$12-'Mass Ion Calculations'!$E16-'Mass Ion Calculations'!$D$5)))</f>
        <v>475.80962999999997</v>
      </c>
      <c r="K15" s="3">
        <f>IF(OR($B15="",K$3=""),"",IF('Mass Ion Calculations'!$D$6="Yes",IF('Mass Ion Calculations'!$D$7="Yes",'Mass Ion Calculations'!$D$18+'AA Exact Masses'!$Q$3-'Mass Ion Calculations'!$C$13-'Mass Ion Calculations'!$C16-'Mass Ion Calculations'!$D$5,'Mass Ion Calculations'!$F$18+'AA Exact Masses'!$Q$3-'Mass Ion Calculations'!$E$14-'Mass Ion Calculations'!$E16-'Mass Ion Calculations'!$D$5),IF('Mass Ion Calculations'!$D$7="Yes", 'Mass Ion Calculations'!$D$15+'AA Exact Masses'!$Q$3-'Mass Ion Calculations'!$C$13-'Mass Ion Calculations'!$C16-'Mass Ion Calculations'!$D$5,'Mass Ion Calculations'!$F$15+'AA Exact Masses'!$Q$3-'Mass Ion Calculations'!$E$14-'Mass Ion Calculations'!$E16-'Mass Ion Calculations'!$D$5)))</f>
        <v>445.83545000000004</v>
      </c>
      <c r="L15" s="3">
        <f>IF(OR($B15="",L$3=""),"",IF('Mass Ion Calculations'!$D$6="Yes",IF('Mass Ion Calculations'!$D$7="Yes",'Mass Ion Calculations'!$D$18+'AA Exact Masses'!$Q$3-'Mass Ion Calculations'!$C$14-'Mass Ion Calculations'!$C16-'Mass Ion Calculations'!$D$5,'Mass Ion Calculations'!$F$18+'AA Exact Masses'!$Q$3-'Mass Ion Calculations'!$E$15-'Mass Ion Calculations'!$E16-'Mass Ion Calculations'!$D$5),IF('Mass Ion Calculations'!$D$7="Yes", 'Mass Ion Calculations'!$D$15+'AA Exact Masses'!$Q$3-'Mass Ion Calculations'!$C$14-'Mass Ion Calculations'!$C16-'Mass Ion Calculations'!$D$5,'Mass Ion Calculations'!$F$15+'AA Exact Masses'!$Q$3-'Mass Ion Calculations'!$E$15-'Mass Ion Calculations'!$E16-'Mass Ion Calculations'!$D$5)))</f>
        <v>459.85110000000009</v>
      </c>
      <c r="M15" s="3">
        <f>IF(OR($B15="",M$3=""),"",IF('Mass Ion Calculations'!$D$6="Yes",IF('Mass Ion Calculations'!$D$7="Yes",'Mass Ion Calculations'!$D$18+'AA Exact Masses'!$Q$3-'Mass Ion Calculations'!$C$15-'Mass Ion Calculations'!$C16-'Mass Ion Calculations'!$D$5,'Mass Ion Calculations'!$F$18+'AA Exact Masses'!$Q$3-'Mass Ion Calculations'!$E$16-'Mass Ion Calculations'!$E16-'Mass Ion Calculations'!$D$5),IF('Mass Ion Calculations'!$D$7="Yes", 'Mass Ion Calculations'!$D$15+'AA Exact Masses'!$Q$3-'Mass Ion Calculations'!$C$15-'Mass Ion Calculations'!$C16-'Mass Ion Calculations'!$D$5,'Mass Ion Calculations'!$F$15+'AA Exact Masses'!$Q$3-'Mass Ion Calculations'!$E$16-'Mass Ion Calculations'!$E16-'Mass Ion Calculations'!$D$5)))</f>
        <v>503.84093000000007</v>
      </c>
      <c r="N15" s="3">
        <f>IF(OR($B15="",N$3=""),"",IF('Mass Ion Calculations'!$D$6="Yes",IF('Mass Ion Calculations'!$D$7="Yes",'Mass Ion Calculations'!$D$18+'AA Exact Masses'!$Q$3-'Mass Ion Calculations'!$C$16-'Mass Ion Calculations'!$C16-'Mass Ion Calculations'!$D$5,'Mass Ion Calculations'!$F$18+'AA Exact Masses'!$Q$3-'Mass Ion Calculations'!$E$17-'Mass Ion Calculations'!$E16-'Mass Ion Calculations'!$D$5),IF('Mass Ion Calculations'!$D$7="Yes", 'Mass Ion Calculations'!$D$15+'AA Exact Masses'!$Q$3-'Mass Ion Calculations'!$C$16-'Mass Ion Calculations'!$C16-'Mass Ion Calculations'!$D$5,'Mass Ion Calculations'!$F$15+'AA Exact Masses'!$Q$3-'Mass Ion Calculations'!$E$17-'Mass Ion Calculations'!$E16-'Mass Ion Calculations'!$D$5)))</f>
        <v>427.80962999999997</v>
      </c>
      <c r="O15" s="3">
        <f>IF(OR($B15="",O$3=""),"",IF('Mass Ion Calculations'!$D$6="Yes",IF('Mass Ion Calculations'!$D$7="Yes",'Mass Ion Calculations'!$D$18+'AA Exact Masses'!$Q$3-'Mass Ion Calculations'!$C$17-'Mass Ion Calculations'!$C16-'Mass Ion Calculations'!$D$5,'Mass Ion Calculations'!$F$18+'AA Exact Masses'!$Q$3-'Mass Ion Calculations'!$E$18-'Mass Ion Calculations'!$E16-'Mass Ion Calculations'!$D$5),IF('Mass Ion Calculations'!$D$7="Yes", 'Mass Ion Calculations'!$D$15+'AA Exact Masses'!$Q$3-'Mass Ion Calculations'!$C$17-'Mass Ion Calculations'!$C16-'Mass Ion Calculations'!$D$5,'Mass Ion Calculations'!$F$15+'AA Exact Masses'!$Q$3-'Mass Ion Calculations'!$E$18-'Mass Ion Calculations'!$E16-'Mass Ion Calculations'!$D$5)))</f>
        <v>301.91298000000006</v>
      </c>
      <c r="P15" s="3">
        <f>IF(OR($B15="",P$3=""),"",IF('Mass Ion Calculations'!$D$6="Yes",IF('Mass Ion Calculations'!$D$7="Yes",'Mass Ion Calculations'!$D$18+'AA Exact Masses'!$Q$3-'Mass Ion Calculations'!$C$19-'Mass Ion Calculations'!$C16-'Mass Ion Calculations'!$D$5,'Mass Ion Calculations'!$F$18+'AA Exact Masses'!$Q$3-'Mass Ion Calculations'!$E$19-'Mass Ion Calculations'!$E16-'Mass Ion Calculations'!$D$5),IF('Mass Ion Calculations'!$D$7="Yes", 'Mass Ion Calculations'!$D$15+'AA Exact Masses'!$Q$3-'Mass Ion Calculations'!$C$19-'Mass Ion Calculations'!$C16-'Mass Ion Calculations'!$D$5,'Mass Ion Calculations'!$F$15+'AA Exact Masses'!$Q$3-'Mass Ion Calculations'!$E$19-'Mass Ion Calculations'!$E16-'Mass Ion Calculations'!$D$5)))</f>
        <v>475.80962999999997</v>
      </c>
      <c r="Q15" s="3">
        <f>IF(OR($B15="",Q$3=""),"",IF('Mass Ion Calculations'!$D$6="Yes",IF('Mass Ion Calculations'!$D$7="Yes",'Mass Ion Calculations'!$D$18+'AA Exact Masses'!$Q$3-'Mass Ion Calculations'!$C$20-'Mass Ion Calculations'!$C16-'Mass Ion Calculations'!$D$5,'Mass Ion Calculations'!$F$18+'AA Exact Masses'!$Q$3-'Mass Ion Calculations'!$E$20-'Mass Ion Calculations'!$E16-'Mass Ion Calculations'!$D$5),IF('Mass Ion Calculations'!$D$7="Yes", 'Mass Ion Calculations'!$D$15+'AA Exact Masses'!$Q$3-'Mass Ion Calculations'!$C$20-'Mass Ion Calculations'!$C16-'Mass Ion Calculations'!$D$5,'Mass Ion Calculations'!$F$15+'AA Exact Masses'!$Q$3-'Mass Ion Calculations'!$E$20-'Mass Ion Calculations'!$E16-'Mass Ion Calculations'!$D$5)))</f>
        <v>461.79398000000015</v>
      </c>
      <c r="R15" s="3" t="e">
        <f>IF(OR($B15="",R$3=""),"",IF('Mass Ion Calculations'!$D$6="Yes",IF('Mass Ion Calculations'!$D$7="Yes",'Mass Ion Calculations'!$D$18+'AA Exact Masses'!$Q$3-'Mass Ion Calculations'!$C$21-'Mass Ion Calculations'!$C16-'Mass Ion Calculations'!$D$5,'Mass Ion Calculations'!$F$18+'AA Exact Masses'!$Q$3-'Mass Ion Calculations'!$E$21-'Mass Ion Calculations'!$E16-'Mass Ion Calculations'!$D$5),IF('Mass Ion Calculations'!$D$7="Yes", 'Mass Ion Calculations'!$D$15+'AA Exact Masses'!$Q$3-'Mass Ion Calculations'!$C$21-'Mass Ion Calculations'!$C16-'Mass Ion Calculations'!$D$5,'Mass Ion Calculations'!$F$15+'AA Exact Masses'!$Q$3-'Mass Ion Calculations'!$E$21-'Mass Ion Calculations'!$E16-'Mass Ion Calculations'!$D$5)))</f>
        <v>#VALUE!</v>
      </c>
      <c r="S15" s="3" t="str">
        <f>IF(OR($B15="",S$3=""),"",IF('Mass Ion Calculations'!$D$6="Yes",IF('Mass Ion Calculations'!$D$7="Yes",'Mass Ion Calculations'!$D$18+'AA Exact Masses'!$Q$3-'Mass Ion Calculations'!$C$21-'Mass Ion Calculations'!$C16-'Mass Ion Calculations'!$D$5,'Mass Ion Calculations'!$F$18+'AA Exact Masses'!$Q$3-'Mass Ion Calculations'!$E$21-'Mass Ion Calculations'!$E16-'Mass Ion Calculations'!$D$5),IF('Mass Ion Calculations'!$D$7="Yes", 'Mass Ion Calculations'!$D$15+'AA Exact Masses'!$Q$3-'Mass Ion Calculations'!$C$21-'Mass Ion Calculations'!$C16-'Mass Ion Calculations'!$D$5,'Mass Ion Calculations'!$F$15+'AA Exact Masses'!$Q$3-'Mass Ion Calculations'!$E$21-'Mass Ion Calculations'!$E16-'Mass Ion Calculations'!$D$5)))</f>
        <v/>
      </c>
      <c r="T15" s="3" t="e">
        <f>IF(OR($B15="",T$3=""),"",IF('Mass Ion Calculations'!$D$6="Yes",IF('Mass Ion Calculations'!$D$7="Yes",'Mass Ion Calculations'!$D$18+'AA Exact Masses'!$Q$3-'Mass Ion Calculations'!$C$22-'Mass Ion Calculations'!$C16-'Mass Ion Calculations'!$D$5,'Mass Ion Calculations'!$F$18+'AA Exact Masses'!$Q$3-'Mass Ion Calculations'!$E$22-'Mass Ion Calculations'!$E17-'Mass Ion Calculations'!$D$5),IF('Mass Ion Calculations'!$D$7="Yes", 'Mass Ion Calculations'!$D$15+'AA Exact Masses'!$Q$3-'Mass Ion Calculations'!$C$22-'Mass Ion Calculations'!$C16-'Mass Ion Calculations'!$D$5,'Mass Ion Calculations'!$F$15+'AA Exact Masses'!$Q$3-'Mass Ion Calculations'!$E$22-'Mass Ion Calculations'!$E17-'Mass Ion Calculations'!$D$5)))</f>
        <v>#VALUE!</v>
      </c>
      <c r="U15" s="3" t="e">
        <f>IF(OR($B15="",U$3=""),"",IF('Mass Ion Calculations'!$D$6="Yes",IF('Mass Ion Calculations'!$D$7="Yes",'Mass Ion Calculations'!$D$18+'AA Exact Masses'!$Q$3-'Mass Ion Calculations'!$C$23-'Mass Ion Calculations'!$C16-'Mass Ion Calculations'!$D$5,'Mass Ion Calculations'!$F$18+'AA Exact Masses'!$Q$3-'Mass Ion Calculations'!$E$23-'Mass Ion Calculations'!$E17-'Mass Ion Calculations'!$D$5),IF('Mass Ion Calculations'!$D$7="Yes", 'Mass Ion Calculations'!$D$15+'AA Exact Masses'!$Q$3-'Mass Ion Calculations'!$C$23-'Mass Ion Calculations'!$C16-'Mass Ion Calculations'!$D$5,'Mass Ion Calculations'!$F$15+'AA Exact Masses'!$Q$3-'Mass Ion Calculations'!$E$23-'Mass Ion Calculations'!$E17-'Mass Ion Calculations'!$D$5)))</f>
        <v>#VALUE!</v>
      </c>
      <c r="V15" s="3" t="str">
        <f>IF(OR($B15="",V$3=""),"",IF('Mass Ion Calculations'!$D$6="Yes",IF('Mass Ion Calculations'!$D$7="Yes",'Mass Ion Calculations'!$D$18+'AA Exact Masses'!$Q$3-'Mass Ion Calculations'!$C$24-'Mass Ion Calculations'!$C16-'Mass Ion Calculations'!$D$5,'Mass Ion Calculations'!$F$18+'AA Exact Masses'!$Q$3-'Mass Ion Calculations'!$E$24-'Mass Ion Calculations'!$E17-'Mass Ion Calculations'!$D$5),IF('Mass Ion Calculations'!$D$7="Yes", 'Mass Ion Calculations'!$D$15+'AA Exact Masses'!$Q$3-'Mass Ion Calculations'!$C$24-'Mass Ion Calculations'!$C16-'Mass Ion Calculations'!$D$5,'Mass Ion Calculations'!$F$15+'AA Exact Masses'!$Q$3-'Mass Ion Calculations'!$E$24-'Mass Ion Calculations'!$E17-'Mass Ion Calculations'!$D$5)))</f>
        <v/>
      </c>
      <c r="W15" s="3" t="str">
        <f>IF(OR($B15="",W$3=""),"",IF('Mass Ion Calculations'!$D$6="Yes",IF('Mass Ion Calculations'!$D$7="Yes",'Mass Ion Calculations'!$D$18+'AA Exact Masses'!$Q$3-'Mass Ion Calculations'!$C$25-'Mass Ion Calculations'!$C16-'Mass Ion Calculations'!$D$5,'Mass Ion Calculations'!$F$18+'AA Exact Masses'!$Q$3-'Mass Ion Calculations'!$E$25-'Mass Ion Calculations'!$E17-'Mass Ion Calculations'!$D$5),IF('Mass Ion Calculations'!$D$7="Yes", 'Mass Ion Calculations'!$D$15+'AA Exact Masses'!$Q$3-'Mass Ion Calculations'!$C$25-'Mass Ion Calculations'!$C16-'Mass Ion Calculations'!$D$5,'Mass Ion Calculations'!$F$15+'AA Exact Masses'!$Q$3-'Mass Ion Calculations'!$E$25-'Mass Ion Calculations'!$E17-'Mass Ion Calculations'!$D$5)))</f>
        <v/>
      </c>
      <c r="X15" s="3" t="str">
        <f>IF(OR($B15="",X$3=""),"",IF('Mass Ion Calculations'!$D$6="Yes",IF('Mass Ion Calculations'!$D$7="Yes",'Mass Ion Calculations'!$D$18+'AA Exact Masses'!$Q$3-'Mass Ion Calculations'!$C$26-'Mass Ion Calculations'!$C16-'Mass Ion Calculations'!$D$5,'Mass Ion Calculations'!$F$18+'AA Exact Masses'!$Q$3-'Mass Ion Calculations'!$E$26-'Mass Ion Calculations'!$E17-'Mass Ion Calculations'!$D$5),IF('Mass Ion Calculations'!$D$7="Yes", 'Mass Ion Calculations'!$D$15+'AA Exact Masses'!$Q$3-'Mass Ion Calculations'!$C$26-'Mass Ion Calculations'!$C16-'Mass Ion Calculations'!$D$5,'Mass Ion Calculations'!$F$15+'AA Exact Masses'!$Q$3-'Mass Ion Calculations'!$E$26-'Mass Ion Calculations'!$E17-'Mass Ion Calculations'!$D$5)))</f>
        <v/>
      </c>
      <c r="Y15" s="3" t="str">
        <f>IF(OR($B15="",Y$3=""),"",IF('Mass Ion Calculations'!$D$6="Yes",IF('Mass Ion Calculations'!$D$7="Yes",'Mass Ion Calculations'!$D$18+'AA Exact Masses'!$Q$3-'Mass Ion Calculations'!$C$27-'Mass Ion Calculations'!$C16-'Mass Ion Calculations'!$D$5,'Mass Ion Calculations'!$F$18+'AA Exact Masses'!$Q$3-'Mass Ion Calculations'!$E$27-'Mass Ion Calculations'!$E17-'Mass Ion Calculations'!$D$5),IF('Mass Ion Calculations'!$D$7="Yes", 'Mass Ion Calculations'!$D$15+'AA Exact Masses'!$Q$3-'Mass Ion Calculations'!$C$27-'Mass Ion Calculations'!$C16-'Mass Ion Calculations'!$D$5,'Mass Ion Calculations'!$F$15+'AA Exact Masses'!$Q$3-'Mass Ion Calculations'!$E$27-'Mass Ion Calculations'!$E17-'Mass Ion Calculations'!$D$5)))</f>
        <v/>
      </c>
      <c r="Z15" s="3" t="str">
        <f>IF(OR($B15="",Z$3=""),"",IF('Mass Ion Calculations'!$D$6="Yes",IF('Mass Ion Calculations'!$D$7="Yes",'Mass Ion Calculations'!$D$18+'AA Exact Masses'!$Q$3-'Mass Ion Calculations'!$C$28-'Mass Ion Calculations'!$C16-'Mass Ion Calculations'!$D$5,'Mass Ion Calculations'!$F$18+'AA Exact Masses'!$Q$3-'Mass Ion Calculations'!$E$28-'Mass Ion Calculations'!$E17-'Mass Ion Calculations'!$D$5),IF('Mass Ion Calculations'!$D$7="Yes", 'Mass Ion Calculations'!$D$15+'AA Exact Masses'!$Q$3-'Mass Ion Calculations'!$C$28-'Mass Ion Calculations'!$C16-'Mass Ion Calculations'!$D$5,'Mass Ion Calculations'!$F$15+'AA Exact Masses'!$Q$3-'Mass Ion Calculations'!$E$28-'Mass Ion Calculations'!$E17-'Mass Ion Calculations'!$D$5)))</f>
        <v/>
      </c>
    </row>
    <row r="16" spans="2:26" x14ac:dyDescent="0.25">
      <c r="B16" s="4" t="str">
        <f>IF('Mass Ion Calculations'!B17="","",'Mass Ion Calculations'!B17)</f>
        <v>Phe</v>
      </c>
      <c r="C16" s="3">
        <f>IF(OR($B16="",C$3=""),"",IF('Mass Ion Calculations'!$D$6="Yes",IF('Mass Ion Calculations'!$D$7="Yes",'Mass Ion Calculations'!$D$18+'AA Exact Masses'!$Q$3-'Mass Ion Calculations'!$C$5-'Mass Ion Calculations'!$C17-'Mass Ion Calculations'!$D$5,'Mass Ion Calculations'!$F$18+'AA Exact Masses'!$Q$3-'Mass Ion Calculations'!$E$5-'Mass Ion Calculations'!$E17-'Mass Ion Calculations'!$D$5),IF('Mass Ion Calculations'!$D$7="Yes", 'Mass Ion Calculations'!$D$15+'AA Exact Masses'!$Q$3-'Mass Ion Calculations'!$C$5-'Mass Ion Calculations'!$C17-'Mass Ion Calculations'!$D$5,'Mass Ion Calculations'!$F$15+'AA Exact Masses'!$Q$3-'Mass Ion Calculations'!$E$5-'Mass Ion Calculations'!$E17-'Mass Ion Calculations'!$D$5)))</f>
        <v>384.7674199999999</v>
      </c>
      <c r="D16" s="3">
        <f>IF(OR($B16="",D$3=""),"",IF('Mass Ion Calculations'!$D$6="Yes",IF('Mass Ion Calculations'!$D$7="Yes",'Mass Ion Calculations'!$D$18+'AA Exact Masses'!$Q$3-'Mass Ion Calculations'!$C$6-'Mass Ion Calculations'!$C17-'Mass Ion Calculations'!$D$5,'Mass Ion Calculations'!$F$18+'AA Exact Masses'!$Q$3-'Mass Ion Calculations'!$E$6-'Mass Ion Calculations'!$E17-'Mass Ion Calculations'!$D$5),IF('Mass Ion Calculations'!$D$7="Yes", 'Mass Ion Calculations'!$D$15+'AA Exact Masses'!$Q$3-'Mass Ion Calculations'!$C$6-'Mass Ion Calculations'!$C17-'Mass Ion Calculations'!$D$5,'Mass Ion Calculations'!$F$15+'AA Exact Masses'!$Q$3-'Mass Ion Calculations'!$E$6-'Mass Ion Calculations'!$E17-'Mass Ion Calculations'!$D$5)))</f>
        <v>427.80962999999997</v>
      </c>
      <c r="E16" s="3">
        <f>IF(OR($B16="",E$3=""),"",IF('Mass Ion Calculations'!$D$6="Yes",IF('Mass Ion Calculations'!$D$7="Yes",'Mass Ion Calculations'!$D$18+'AA Exact Masses'!$Q$3-'Mass Ion Calculations'!$C$7-'Mass Ion Calculations'!$C17-'Mass Ion Calculations'!$D$5,'Mass Ion Calculations'!$F$18+'AA Exact Masses'!$Q$3-'Mass Ion Calculations'!$E$7-'Mass Ion Calculations'!$E17-'Mass Ion Calculations'!$D$5),IF('Mass Ion Calculations'!$D$7="Yes", 'Mass Ion Calculations'!$D$15+'AA Exact Masses'!$Q$3-'Mass Ion Calculations'!$C$7-'Mass Ion Calculations'!$C17-'Mass Ion Calculations'!$D$5,'Mass Ion Calculations'!$F$15+'AA Exact Masses'!$Q$3-'Mass Ion Calculations'!$E$7-'Mass Ion Calculations'!$E17-'Mass Ion Calculations'!$D$5)))</f>
        <v>385.76268000000005</v>
      </c>
      <c r="F16" s="3">
        <f>IF(OR($B16="",F$3=""),"",IF('Mass Ion Calculations'!$D$6="Yes",IF('Mass Ion Calculations'!$D$7="Yes",'Mass Ion Calculations'!$D$18+'AA Exact Masses'!$Q$3-'Mass Ion Calculations'!$C$8-'Mass Ion Calculations'!$C17-'Mass Ion Calculations'!$D$5,'Mass Ion Calculations'!$F$18+'AA Exact Masses'!$Q$3-'Mass Ion Calculations'!$E$8-'Mass Ion Calculations'!$E17-'Mass Ion Calculations'!$D$5),IF('Mass Ion Calculations'!$D$7="Yes", 'Mass Ion Calculations'!$D$15+'AA Exact Masses'!$Q$3-'Mass Ion Calculations'!$C$8-'Mass Ion Calculations'!$C17-'Mass Ion Calculations'!$D$5,'Mass Ion Calculations'!$F$15+'AA Exact Masses'!$Q$3-'Mass Ion Calculations'!$E$8-'Mass Ion Calculations'!$E17-'Mass Ion Calculations'!$D$5)))</f>
        <v>385.76268000000005</v>
      </c>
      <c r="G16" s="3">
        <f>IF(OR($B16="",G$3=""),"",IF('Mass Ion Calculations'!$D$6="Yes",IF('Mass Ion Calculations'!$D$7="Yes",'Mass Ion Calculations'!$D$18+'AA Exact Masses'!$Q$3-'Mass Ion Calculations'!$C$9-'Mass Ion Calculations'!$C17-'Mass Ion Calculations'!$D$5,'Mass Ion Calculations'!$F$18+'AA Exact Masses'!$Q$3-'Mass Ion Calculations'!$E$9-'Mass Ion Calculations'!$E17-'Mass Ion Calculations'!$D$5),IF('Mass Ion Calculations'!$D$7="Yes", 'Mass Ion Calculations'!$D$15+'AA Exact Masses'!$Q$3-'Mass Ion Calculations'!$C$9-'Mass Ion Calculations'!$C17-'Mass Ion Calculations'!$D$5,'Mass Ion Calculations'!$F$15+'AA Exact Masses'!$Q$3-'Mass Ion Calculations'!$E$9-'Mass Ion Calculations'!$E17-'Mass Ion Calculations'!$D$5)))</f>
        <v>427.80962999999997</v>
      </c>
      <c r="H16" s="3">
        <f>IF(OR($B16="",H$3=""),"",IF('Mass Ion Calculations'!$D$6="Yes",IF('Mass Ion Calculations'!$D$7="Yes",'Mass Ion Calculations'!$D$18+'AA Exact Masses'!$Q$3-'Mass Ion Calculations'!$C$10-'Mass Ion Calculations'!$C17-'Mass Ion Calculations'!$D$5,'Mass Ion Calculations'!$F$18+'AA Exact Masses'!$Q$3-'Mass Ion Calculations'!$E$10-'Mass Ion Calculations'!$E17-'Mass Ion Calculations'!$D$5),IF('Mass Ion Calculations'!$D$7="Yes", 'Mass Ion Calculations'!$D$15+'AA Exact Masses'!$Q$3-'Mass Ion Calculations'!$C$10-'Mass Ion Calculations'!$C17-'Mass Ion Calculations'!$D$5,'Mass Ion Calculations'!$F$15+'AA Exact Masses'!$Q$3-'Mass Ion Calculations'!$E$10-'Mass Ion Calculations'!$E17-'Mass Ion Calculations'!$D$5)))</f>
        <v>385.76268000000005</v>
      </c>
      <c r="I16" s="3">
        <f>IF(OR($B16="",I$3=""),"",IF('Mass Ion Calculations'!$D$6="Yes",IF('Mass Ion Calculations'!$D$7="Yes",'Mass Ion Calculations'!$D$18+'AA Exact Masses'!$Q$3-'Mass Ion Calculations'!$C$11-'Mass Ion Calculations'!$C17-'Mass Ion Calculations'!$D$5,'Mass Ion Calculations'!$F$18+'AA Exact Masses'!$Q$3-'Mass Ion Calculations'!$E$11-'Mass Ion Calculations'!$E17-'Mass Ion Calculations'!$D$5),IF('Mass Ion Calculations'!$D$7="Yes", 'Mass Ion Calculations'!$D$15+'AA Exact Masses'!$Q$3-'Mass Ion Calculations'!$C$11-'Mass Ion Calculations'!$C17-'Mass Ion Calculations'!$D$5,'Mass Ion Calculations'!$F$15+'AA Exact Masses'!$Q$3-'Mass Ion Calculations'!$E$11-'Mass Ion Calculations'!$E17-'Mass Ion Calculations'!$D$5)))</f>
        <v>384.7674199999999</v>
      </c>
      <c r="J16" s="3">
        <f>IF(OR($B16="",J$3=""),"",IF('Mass Ion Calculations'!$D$6="Yes",IF('Mass Ion Calculations'!$D$7="Yes",'Mass Ion Calculations'!$D$18+'AA Exact Masses'!$Q$3-'Mass Ion Calculations'!$C$12-'Mass Ion Calculations'!$C17-'Mass Ion Calculations'!$D$5,'Mass Ion Calculations'!$F$18+'AA Exact Masses'!$Q$3-'Mass Ion Calculations'!$E$12-'Mass Ion Calculations'!$E17-'Mass Ion Calculations'!$D$5),IF('Mass Ion Calculations'!$D$7="Yes", 'Mass Ion Calculations'!$D$15+'AA Exact Masses'!$Q$3-'Mass Ion Calculations'!$C$12-'Mass Ion Calculations'!$C17-'Mass Ion Calculations'!$D$5,'Mass Ion Calculations'!$F$15+'AA Exact Masses'!$Q$3-'Mass Ion Calculations'!$E$12-'Mass Ion Calculations'!$E17-'Mass Ion Calculations'!$D$5)))</f>
        <v>399.77832999999987</v>
      </c>
      <c r="K16" s="3">
        <f>IF(OR($B16="",K$3=""),"",IF('Mass Ion Calculations'!$D$6="Yes",IF('Mass Ion Calculations'!$D$7="Yes",'Mass Ion Calculations'!$D$18+'AA Exact Masses'!$Q$3-'Mass Ion Calculations'!$C$13-'Mass Ion Calculations'!$C17-'Mass Ion Calculations'!$D$5,'Mass Ion Calculations'!$F$18+'AA Exact Masses'!$Q$3-'Mass Ion Calculations'!$E$14-'Mass Ion Calculations'!$E17-'Mass Ion Calculations'!$D$5),IF('Mass Ion Calculations'!$D$7="Yes", 'Mass Ion Calculations'!$D$15+'AA Exact Masses'!$Q$3-'Mass Ion Calculations'!$C$13-'Mass Ion Calculations'!$C17-'Mass Ion Calculations'!$D$5,'Mass Ion Calculations'!$F$15+'AA Exact Masses'!$Q$3-'Mass Ion Calculations'!$E$14-'Mass Ion Calculations'!$E17-'Mass Ion Calculations'!$D$5)))</f>
        <v>369.80414999999994</v>
      </c>
      <c r="L16" s="3">
        <f>IF(OR($B16="",L$3=""),"",IF('Mass Ion Calculations'!$D$6="Yes",IF('Mass Ion Calculations'!$D$7="Yes",'Mass Ion Calculations'!$D$18+'AA Exact Masses'!$Q$3-'Mass Ion Calculations'!$C$14-'Mass Ion Calculations'!$C17-'Mass Ion Calculations'!$D$5,'Mass Ion Calculations'!$F$18+'AA Exact Masses'!$Q$3-'Mass Ion Calculations'!$E$15-'Mass Ion Calculations'!$E17-'Mass Ion Calculations'!$D$5),IF('Mass Ion Calculations'!$D$7="Yes", 'Mass Ion Calculations'!$D$15+'AA Exact Masses'!$Q$3-'Mass Ion Calculations'!$C$14-'Mass Ion Calculations'!$C17-'Mass Ion Calculations'!$D$5,'Mass Ion Calculations'!$F$15+'AA Exact Masses'!$Q$3-'Mass Ion Calculations'!$E$15-'Mass Ion Calculations'!$E17-'Mass Ion Calculations'!$D$5)))</f>
        <v>383.81979999999999</v>
      </c>
      <c r="M16" s="3">
        <f>IF(OR($B16="",M$3=""),"",IF('Mass Ion Calculations'!$D$6="Yes",IF('Mass Ion Calculations'!$D$7="Yes",'Mass Ion Calculations'!$D$18+'AA Exact Masses'!$Q$3-'Mass Ion Calculations'!$C$15-'Mass Ion Calculations'!$C17-'Mass Ion Calculations'!$D$5,'Mass Ion Calculations'!$F$18+'AA Exact Masses'!$Q$3-'Mass Ion Calculations'!$E$16-'Mass Ion Calculations'!$E17-'Mass Ion Calculations'!$D$5),IF('Mass Ion Calculations'!$D$7="Yes", 'Mass Ion Calculations'!$D$15+'AA Exact Masses'!$Q$3-'Mass Ion Calculations'!$C$15-'Mass Ion Calculations'!$C17-'Mass Ion Calculations'!$D$5,'Mass Ion Calculations'!$F$15+'AA Exact Masses'!$Q$3-'Mass Ion Calculations'!$E$16-'Mass Ion Calculations'!$E17-'Mass Ion Calculations'!$D$5)))</f>
        <v>427.80962999999997</v>
      </c>
      <c r="N16" s="3">
        <f>IF(OR($B16="",N$3=""),"",IF('Mass Ion Calculations'!$D$6="Yes",IF('Mass Ion Calculations'!$D$7="Yes",'Mass Ion Calculations'!$D$18+'AA Exact Masses'!$Q$3-'Mass Ion Calculations'!$C$16-'Mass Ion Calculations'!$C17-'Mass Ion Calculations'!$D$5,'Mass Ion Calculations'!$F$18+'AA Exact Masses'!$Q$3-'Mass Ion Calculations'!$E$17-'Mass Ion Calculations'!$E17-'Mass Ion Calculations'!$D$5),IF('Mass Ion Calculations'!$D$7="Yes", 'Mass Ion Calculations'!$D$15+'AA Exact Masses'!$Q$3-'Mass Ion Calculations'!$C$16-'Mass Ion Calculations'!$C17-'Mass Ion Calculations'!$D$5,'Mass Ion Calculations'!$F$15+'AA Exact Masses'!$Q$3-'Mass Ion Calculations'!$E$17-'Mass Ion Calculations'!$E17-'Mass Ion Calculations'!$D$5)))</f>
        <v>351.77832999999987</v>
      </c>
      <c r="O16" s="3">
        <f>IF(OR($B16="",O$3=""),"",IF('Mass Ion Calculations'!$D$6="Yes",IF('Mass Ion Calculations'!$D$7="Yes",'Mass Ion Calculations'!$D$18+'AA Exact Masses'!$Q$3-'Mass Ion Calculations'!$C$17-'Mass Ion Calculations'!$C17-'Mass Ion Calculations'!$D$5,'Mass Ion Calculations'!$F$18+'AA Exact Masses'!$Q$3-'Mass Ion Calculations'!$E$18-'Mass Ion Calculations'!$E17-'Mass Ion Calculations'!$D$5),IF('Mass Ion Calculations'!$D$7="Yes", 'Mass Ion Calculations'!$D$15+'AA Exact Masses'!$Q$3-'Mass Ion Calculations'!$C$17-'Mass Ion Calculations'!$C17-'Mass Ion Calculations'!$D$5,'Mass Ion Calculations'!$F$15+'AA Exact Masses'!$Q$3-'Mass Ion Calculations'!$E$18-'Mass Ion Calculations'!$E17-'Mass Ion Calculations'!$D$5)))</f>
        <v>225.88167999999996</v>
      </c>
      <c r="P16" s="3">
        <f>IF(OR($B16="",P$3=""),"",IF('Mass Ion Calculations'!$D$6="Yes",IF('Mass Ion Calculations'!$D$7="Yes",'Mass Ion Calculations'!$D$18+'AA Exact Masses'!$Q$3-'Mass Ion Calculations'!$C$19-'Mass Ion Calculations'!$C17-'Mass Ion Calculations'!$D$5,'Mass Ion Calculations'!$F$18+'AA Exact Masses'!$Q$3-'Mass Ion Calculations'!$E$19-'Mass Ion Calculations'!$E17-'Mass Ion Calculations'!$D$5),IF('Mass Ion Calculations'!$D$7="Yes", 'Mass Ion Calculations'!$D$15+'AA Exact Masses'!$Q$3-'Mass Ion Calculations'!$C$19-'Mass Ion Calculations'!$C17-'Mass Ion Calculations'!$D$5,'Mass Ion Calculations'!$F$15+'AA Exact Masses'!$Q$3-'Mass Ion Calculations'!$E$19-'Mass Ion Calculations'!$E17-'Mass Ion Calculations'!$D$5)))</f>
        <v>399.77832999999987</v>
      </c>
      <c r="Q16" s="3">
        <f>IF(OR($B16="",Q$3=""),"",IF('Mass Ion Calculations'!$D$6="Yes",IF('Mass Ion Calculations'!$D$7="Yes",'Mass Ion Calculations'!$D$18+'AA Exact Masses'!$Q$3-'Mass Ion Calculations'!$C$20-'Mass Ion Calculations'!$C17-'Mass Ion Calculations'!$D$5,'Mass Ion Calculations'!$F$18+'AA Exact Masses'!$Q$3-'Mass Ion Calculations'!$E$20-'Mass Ion Calculations'!$E17-'Mass Ion Calculations'!$D$5),IF('Mass Ion Calculations'!$D$7="Yes", 'Mass Ion Calculations'!$D$15+'AA Exact Masses'!$Q$3-'Mass Ion Calculations'!$C$20-'Mass Ion Calculations'!$C17-'Mass Ion Calculations'!$D$5,'Mass Ion Calculations'!$F$15+'AA Exact Masses'!$Q$3-'Mass Ion Calculations'!$E$20-'Mass Ion Calculations'!$E17-'Mass Ion Calculations'!$D$5)))</f>
        <v>385.76268000000005</v>
      </c>
      <c r="R16" s="3" t="e">
        <f>IF(OR($B16="",R$3=""),"",IF('Mass Ion Calculations'!$D$6="Yes",IF('Mass Ion Calculations'!$D$7="Yes",'Mass Ion Calculations'!$D$18+'AA Exact Masses'!$Q$3-'Mass Ion Calculations'!$C$21-'Mass Ion Calculations'!$C17-'Mass Ion Calculations'!$D$5,'Mass Ion Calculations'!$F$18+'AA Exact Masses'!$Q$3-'Mass Ion Calculations'!$E$21-'Mass Ion Calculations'!$E17-'Mass Ion Calculations'!$D$5),IF('Mass Ion Calculations'!$D$7="Yes", 'Mass Ion Calculations'!$D$15+'AA Exact Masses'!$Q$3-'Mass Ion Calculations'!$C$21-'Mass Ion Calculations'!$C17-'Mass Ion Calculations'!$D$5,'Mass Ion Calculations'!$F$15+'AA Exact Masses'!$Q$3-'Mass Ion Calculations'!$E$21-'Mass Ion Calculations'!$E17-'Mass Ion Calculations'!$D$5)))</f>
        <v>#VALUE!</v>
      </c>
      <c r="S16" s="3" t="str">
        <f>IF(OR($B16="",S$3=""),"",IF('Mass Ion Calculations'!$D$6="Yes",IF('Mass Ion Calculations'!$D$7="Yes",'Mass Ion Calculations'!$D$18+'AA Exact Masses'!$Q$3-'Mass Ion Calculations'!$C$21-'Mass Ion Calculations'!$C17-'Mass Ion Calculations'!$D$5,'Mass Ion Calculations'!$F$18+'AA Exact Masses'!$Q$3-'Mass Ion Calculations'!$E$21-'Mass Ion Calculations'!$E17-'Mass Ion Calculations'!$D$5),IF('Mass Ion Calculations'!$D$7="Yes", 'Mass Ion Calculations'!$D$15+'AA Exact Masses'!$Q$3-'Mass Ion Calculations'!$C$21-'Mass Ion Calculations'!$C17-'Mass Ion Calculations'!$D$5,'Mass Ion Calculations'!$F$15+'AA Exact Masses'!$Q$3-'Mass Ion Calculations'!$E$21-'Mass Ion Calculations'!$E17-'Mass Ion Calculations'!$D$5)))</f>
        <v/>
      </c>
      <c r="T16" s="3" t="e">
        <f>IF(OR($B16="",T$3=""),"",IF('Mass Ion Calculations'!$D$6="Yes",IF('Mass Ion Calculations'!$D$7="Yes",'Mass Ion Calculations'!$D$18+'AA Exact Masses'!$Q$3-'Mass Ion Calculations'!$C$22-'Mass Ion Calculations'!$C17-'Mass Ion Calculations'!$D$5,'Mass Ion Calculations'!$F$18+'AA Exact Masses'!$Q$3-'Mass Ion Calculations'!$E$22-'Mass Ion Calculations'!$E18-'Mass Ion Calculations'!$D$5),IF('Mass Ion Calculations'!$D$7="Yes", 'Mass Ion Calculations'!$D$15+'AA Exact Masses'!$Q$3-'Mass Ion Calculations'!$C$22-'Mass Ion Calculations'!$C17-'Mass Ion Calculations'!$D$5,'Mass Ion Calculations'!$F$15+'AA Exact Masses'!$Q$3-'Mass Ion Calculations'!$E$22-'Mass Ion Calculations'!$E18-'Mass Ion Calculations'!$D$5)))</f>
        <v>#VALUE!</v>
      </c>
      <c r="U16" s="3" t="e">
        <f>IF(OR($B16="",U$3=""),"",IF('Mass Ion Calculations'!$D$6="Yes",IF('Mass Ion Calculations'!$D$7="Yes",'Mass Ion Calculations'!$D$18+'AA Exact Masses'!$Q$3-'Mass Ion Calculations'!$C$23-'Mass Ion Calculations'!$C17-'Mass Ion Calculations'!$D$5,'Mass Ion Calculations'!$F$18+'AA Exact Masses'!$Q$3-'Mass Ion Calculations'!$E$23-'Mass Ion Calculations'!$E18-'Mass Ion Calculations'!$D$5),IF('Mass Ion Calculations'!$D$7="Yes", 'Mass Ion Calculations'!$D$15+'AA Exact Masses'!$Q$3-'Mass Ion Calculations'!$C$23-'Mass Ion Calculations'!$C17-'Mass Ion Calculations'!$D$5,'Mass Ion Calculations'!$F$15+'AA Exact Masses'!$Q$3-'Mass Ion Calculations'!$E$23-'Mass Ion Calculations'!$E18-'Mass Ion Calculations'!$D$5)))</f>
        <v>#VALUE!</v>
      </c>
      <c r="V16" s="3" t="str">
        <f>IF(OR($B16="",V$3=""),"",IF('Mass Ion Calculations'!$D$6="Yes",IF('Mass Ion Calculations'!$D$7="Yes",'Mass Ion Calculations'!$D$18+'AA Exact Masses'!$Q$3-'Mass Ion Calculations'!$C$24-'Mass Ion Calculations'!$C17-'Mass Ion Calculations'!$D$5,'Mass Ion Calculations'!$F$18+'AA Exact Masses'!$Q$3-'Mass Ion Calculations'!$E$24-'Mass Ion Calculations'!$E18-'Mass Ion Calculations'!$D$5),IF('Mass Ion Calculations'!$D$7="Yes", 'Mass Ion Calculations'!$D$15+'AA Exact Masses'!$Q$3-'Mass Ion Calculations'!$C$24-'Mass Ion Calculations'!$C17-'Mass Ion Calculations'!$D$5,'Mass Ion Calculations'!$F$15+'AA Exact Masses'!$Q$3-'Mass Ion Calculations'!$E$24-'Mass Ion Calculations'!$E18-'Mass Ion Calculations'!$D$5)))</f>
        <v/>
      </c>
      <c r="W16" s="3" t="str">
        <f>IF(OR($B16="",W$3=""),"",IF('Mass Ion Calculations'!$D$6="Yes",IF('Mass Ion Calculations'!$D$7="Yes",'Mass Ion Calculations'!$D$18+'AA Exact Masses'!$Q$3-'Mass Ion Calculations'!$C$25-'Mass Ion Calculations'!$C17-'Mass Ion Calculations'!$D$5,'Mass Ion Calculations'!$F$18+'AA Exact Masses'!$Q$3-'Mass Ion Calculations'!$E$25-'Mass Ion Calculations'!$E18-'Mass Ion Calculations'!$D$5),IF('Mass Ion Calculations'!$D$7="Yes", 'Mass Ion Calculations'!$D$15+'AA Exact Masses'!$Q$3-'Mass Ion Calculations'!$C$25-'Mass Ion Calculations'!$C17-'Mass Ion Calculations'!$D$5,'Mass Ion Calculations'!$F$15+'AA Exact Masses'!$Q$3-'Mass Ion Calculations'!$E$25-'Mass Ion Calculations'!$E18-'Mass Ion Calculations'!$D$5)))</f>
        <v/>
      </c>
      <c r="X16" s="3" t="str">
        <f>IF(OR($B16="",X$3=""),"",IF('Mass Ion Calculations'!$D$6="Yes",IF('Mass Ion Calculations'!$D$7="Yes",'Mass Ion Calculations'!$D$18+'AA Exact Masses'!$Q$3-'Mass Ion Calculations'!$C$26-'Mass Ion Calculations'!$C17-'Mass Ion Calculations'!$D$5,'Mass Ion Calculations'!$F$18+'AA Exact Masses'!$Q$3-'Mass Ion Calculations'!$E$26-'Mass Ion Calculations'!$E18-'Mass Ion Calculations'!$D$5),IF('Mass Ion Calculations'!$D$7="Yes", 'Mass Ion Calculations'!$D$15+'AA Exact Masses'!$Q$3-'Mass Ion Calculations'!$C$26-'Mass Ion Calculations'!$C17-'Mass Ion Calculations'!$D$5,'Mass Ion Calculations'!$F$15+'AA Exact Masses'!$Q$3-'Mass Ion Calculations'!$E$26-'Mass Ion Calculations'!$E18-'Mass Ion Calculations'!$D$5)))</f>
        <v/>
      </c>
      <c r="Y16" s="3" t="str">
        <f>IF(OR($B16="",Y$3=""),"",IF('Mass Ion Calculations'!$D$6="Yes",IF('Mass Ion Calculations'!$D$7="Yes",'Mass Ion Calculations'!$D$18+'AA Exact Masses'!$Q$3-'Mass Ion Calculations'!$C$27-'Mass Ion Calculations'!$C17-'Mass Ion Calculations'!$D$5,'Mass Ion Calculations'!$F$18+'AA Exact Masses'!$Q$3-'Mass Ion Calculations'!$E$27-'Mass Ion Calculations'!$E18-'Mass Ion Calculations'!$D$5),IF('Mass Ion Calculations'!$D$7="Yes", 'Mass Ion Calculations'!$D$15+'AA Exact Masses'!$Q$3-'Mass Ion Calculations'!$C$27-'Mass Ion Calculations'!$C17-'Mass Ion Calculations'!$D$5,'Mass Ion Calculations'!$F$15+'AA Exact Masses'!$Q$3-'Mass Ion Calculations'!$E$27-'Mass Ion Calculations'!$E18-'Mass Ion Calculations'!$D$5)))</f>
        <v/>
      </c>
      <c r="Z16" s="3" t="str">
        <f>IF(OR($B16="",Z$3=""),"",IF('Mass Ion Calculations'!$D$6="Yes",IF('Mass Ion Calculations'!$D$7="Yes",'Mass Ion Calculations'!$D$18+'AA Exact Masses'!$Q$3-'Mass Ion Calculations'!$C$28-'Mass Ion Calculations'!$C17-'Mass Ion Calculations'!$D$5,'Mass Ion Calculations'!$F$18+'AA Exact Masses'!$Q$3-'Mass Ion Calculations'!$E$28-'Mass Ion Calculations'!$E18-'Mass Ion Calculations'!$D$5),IF('Mass Ion Calculations'!$D$7="Yes", 'Mass Ion Calculations'!$D$15+'AA Exact Masses'!$Q$3-'Mass Ion Calculations'!$C$28-'Mass Ion Calculations'!$C17-'Mass Ion Calculations'!$D$5,'Mass Ion Calculations'!$F$15+'AA Exact Masses'!$Q$3-'Mass Ion Calculations'!$E$28-'Mass Ion Calculations'!$E18-'Mass Ion Calculations'!$D$5)))</f>
        <v/>
      </c>
    </row>
    <row r="17" spans="2:26" x14ac:dyDescent="0.25">
      <c r="B17" s="4" t="str">
        <f>IF('Mass Ion Calculations'!B18="","",'Mass Ion Calculations'!B18)</f>
        <v>Phe-I</v>
      </c>
      <c r="C17" s="3">
        <f>IF(OR($B17="",C$3=""),"",IF('Mass Ion Calculations'!$D$6="Yes",IF('Mass Ion Calculations'!$D$7="Yes",'Mass Ion Calculations'!$D$18+'AA Exact Masses'!$Q$3-'Mass Ion Calculations'!$C$5-'Mass Ion Calculations'!$C18-'Mass Ion Calculations'!$D$5,'Mass Ion Calculations'!$F$18+'AA Exact Masses'!$Q$3-'Mass Ion Calculations'!$E$5-'Mass Ion Calculations'!$E18-'Mass Ion Calculations'!$D$5),IF('Mass Ion Calculations'!$D$7="Yes", 'Mass Ion Calculations'!$D$15+'AA Exact Masses'!$Q$3-'Mass Ion Calculations'!$C$5-'Mass Ion Calculations'!$C18-'Mass Ion Calculations'!$D$5,'Mass Ion Calculations'!$F$15+'AA Exact Masses'!$Q$3-'Mass Ion Calculations'!$E$5-'Mass Ion Calculations'!$E18-'Mass Ion Calculations'!$D$5)))</f>
        <v>258.87076999999999</v>
      </c>
      <c r="D17" s="3">
        <f>IF(OR($B17="",D$3=""),"",IF('Mass Ion Calculations'!$D$6="Yes",IF('Mass Ion Calculations'!$D$7="Yes",'Mass Ion Calculations'!$D$18+'AA Exact Masses'!$Q$3-'Mass Ion Calculations'!$C$6-'Mass Ion Calculations'!$C18-'Mass Ion Calculations'!$D$5,'Mass Ion Calculations'!$F$18+'AA Exact Masses'!$Q$3-'Mass Ion Calculations'!$E$6-'Mass Ion Calculations'!$E18-'Mass Ion Calculations'!$D$5),IF('Mass Ion Calculations'!$D$7="Yes", 'Mass Ion Calculations'!$D$15+'AA Exact Masses'!$Q$3-'Mass Ion Calculations'!$C$6-'Mass Ion Calculations'!$C18-'Mass Ion Calculations'!$D$5,'Mass Ion Calculations'!$F$15+'AA Exact Masses'!$Q$3-'Mass Ion Calculations'!$E$6-'Mass Ion Calculations'!$E18-'Mass Ion Calculations'!$D$5)))</f>
        <v>301.91298000000006</v>
      </c>
      <c r="E17" s="3">
        <f>IF(OR($B17="",E$3=""),"",IF('Mass Ion Calculations'!$D$6="Yes",IF('Mass Ion Calculations'!$D$7="Yes",'Mass Ion Calculations'!$D$18+'AA Exact Masses'!$Q$3-'Mass Ion Calculations'!$C$7-'Mass Ion Calculations'!$C18-'Mass Ion Calculations'!$D$5,'Mass Ion Calculations'!$F$18+'AA Exact Masses'!$Q$3-'Mass Ion Calculations'!$E$7-'Mass Ion Calculations'!$E18-'Mass Ion Calculations'!$D$5),IF('Mass Ion Calculations'!$D$7="Yes", 'Mass Ion Calculations'!$D$15+'AA Exact Masses'!$Q$3-'Mass Ion Calculations'!$C$7-'Mass Ion Calculations'!$C18-'Mass Ion Calculations'!$D$5,'Mass Ion Calculations'!$F$15+'AA Exact Masses'!$Q$3-'Mass Ion Calculations'!$E$7-'Mass Ion Calculations'!$E18-'Mass Ion Calculations'!$D$5)))</f>
        <v>259.86603000000014</v>
      </c>
      <c r="F17" s="3">
        <f>IF(OR($B17="",F$3=""),"",IF('Mass Ion Calculations'!$D$6="Yes",IF('Mass Ion Calculations'!$D$7="Yes",'Mass Ion Calculations'!$D$18+'AA Exact Masses'!$Q$3-'Mass Ion Calculations'!$C$8-'Mass Ion Calculations'!$C18-'Mass Ion Calculations'!$D$5,'Mass Ion Calculations'!$F$18+'AA Exact Masses'!$Q$3-'Mass Ion Calculations'!$E$8-'Mass Ion Calculations'!$E18-'Mass Ion Calculations'!$D$5),IF('Mass Ion Calculations'!$D$7="Yes", 'Mass Ion Calculations'!$D$15+'AA Exact Masses'!$Q$3-'Mass Ion Calculations'!$C$8-'Mass Ion Calculations'!$C18-'Mass Ion Calculations'!$D$5,'Mass Ion Calculations'!$F$15+'AA Exact Masses'!$Q$3-'Mass Ion Calculations'!$E$8-'Mass Ion Calculations'!$E18-'Mass Ion Calculations'!$D$5)))</f>
        <v>259.86603000000014</v>
      </c>
      <c r="G17" s="3">
        <f>IF(OR($B17="",G$3=""),"",IF('Mass Ion Calculations'!$D$6="Yes",IF('Mass Ion Calculations'!$D$7="Yes",'Mass Ion Calculations'!$D$18+'AA Exact Masses'!$Q$3-'Mass Ion Calculations'!$C$9-'Mass Ion Calculations'!$C18-'Mass Ion Calculations'!$D$5,'Mass Ion Calculations'!$F$18+'AA Exact Masses'!$Q$3-'Mass Ion Calculations'!$E$9-'Mass Ion Calculations'!$E18-'Mass Ion Calculations'!$D$5),IF('Mass Ion Calculations'!$D$7="Yes", 'Mass Ion Calculations'!$D$15+'AA Exact Masses'!$Q$3-'Mass Ion Calculations'!$C$9-'Mass Ion Calculations'!$C18-'Mass Ion Calculations'!$D$5,'Mass Ion Calculations'!$F$15+'AA Exact Masses'!$Q$3-'Mass Ion Calculations'!$E$9-'Mass Ion Calculations'!$E18-'Mass Ion Calculations'!$D$5)))</f>
        <v>301.91298000000006</v>
      </c>
      <c r="H17" s="3">
        <f>IF(OR($B17="",H$3=""),"",IF('Mass Ion Calculations'!$D$6="Yes",IF('Mass Ion Calculations'!$D$7="Yes",'Mass Ion Calculations'!$D$18+'AA Exact Masses'!$Q$3-'Mass Ion Calculations'!$C$10-'Mass Ion Calculations'!$C18-'Mass Ion Calculations'!$D$5,'Mass Ion Calculations'!$F$18+'AA Exact Masses'!$Q$3-'Mass Ion Calculations'!$E$10-'Mass Ion Calculations'!$E18-'Mass Ion Calculations'!$D$5),IF('Mass Ion Calculations'!$D$7="Yes", 'Mass Ion Calculations'!$D$15+'AA Exact Masses'!$Q$3-'Mass Ion Calculations'!$C$10-'Mass Ion Calculations'!$C18-'Mass Ion Calculations'!$D$5,'Mass Ion Calculations'!$F$15+'AA Exact Masses'!$Q$3-'Mass Ion Calculations'!$E$10-'Mass Ion Calculations'!$E18-'Mass Ion Calculations'!$D$5)))</f>
        <v>259.86603000000014</v>
      </c>
      <c r="I17" s="3">
        <f>IF(OR($B17="",I$3=""),"",IF('Mass Ion Calculations'!$D$6="Yes",IF('Mass Ion Calculations'!$D$7="Yes",'Mass Ion Calculations'!$D$18+'AA Exact Masses'!$Q$3-'Mass Ion Calculations'!$C$11-'Mass Ion Calculations'!$C18-'Mass Ion Calculations'!$D$5,'Mass Ion Calculations'!$F$18+'AA Exact Masses'!$Q$3-'Mass Ion Calculations'!$E$11-'Mass Ion Calculations'!$E18-'Mass Ion Calculations'!$D$5),IF('Mass Ion Calculations'!$D$7="Yes", 'Mass Ion Calculations'!$D$15+'AA Exact Masses'!$Q$3-'Mass Ion Calculations'!$C$11-'Mass Ion Calculations'!$C18-'Mass Ion Calculations'!$D$5,'Mass Ion Calculations'!$F$15+'AA Exact Masses'!$Q$3-'Mass Ion Calculations'!$E$11-'Mass Ion Calculations'!$E18-'Mass Ion Calculations'!$D$5)))</f>
        <v>258.87076999999999</v>
      </c>
      <c r="J17" s="3">
        <f>IF(OR($B17="",J$3=""),"",IF('Mass Ion Calculations'!$D$6="Yes",IF('Mass Ion Calculations'!$D$7="Yes",'Mass Ion Calculations'!$D$18+'AA Exact Masses'!$Q$3-'Mass Ion Calculations'!$C$12-'Mass Ion Calculations'!$C18-'Mass Ion Calculations'!$D$5,'Mass Ion Calculations'!$F$18+'AA Exact Masses'!$Q$3-'Mass Ion Calculations'!$E$12-'Mass Ion Calculations'!$E18-'Mass Ion Calculations'!$D$5),IF('Mass Ion Calculations'!$D$7="Yes", 'Mass Ion Calculations'!$D$15+'AA Exact Masses'!$Q$3-'Mass Ion Calculations'!$C$12-'Mass Ion Calculations'!$C18-'Mass Ion Calculations'!$D$5,'Mass Ion Calculations'!$F$15+'AA Exact Masses'!$Q$3-'Mass Ion Calculations'!$E$12-'Mass Ion Calculations'!$E18-'Mass Ion Calculations'!$D$5)))</f>
        <v>273.88167999999996</v>
      </c>
      <c r="K17" s="3">
        <f>IF(OR($B17="",K$3=""),"",IF('Mass Ion Calculations'!$D$6="Yes",IF('Mass Ion Calculations'!$D$7="Yes",'Mass Ion Calculations'!$D$18+'AA Exact Masses'!$Q$3-'Mass Ion Calculations'!$C$13-'Mass Ion Calculations'!$C18-'Mass Ion Calculations'!$D$5,'Mass Ion Calculations'!$F$18+'AA Exact Masses'!$Q$3-'Mass Ion Calculations'!$E$14-'Mass Ion Calculations'!$E18-'Mass Ion Calculations'!$D$5),IF('Mass Ion Calculations'!$D$7="Yes", 'Mass Ion Calculations'!$D$15+'AA Exact Masses'!$Q$3-'Mass Ion Calculations'!$C$13-'Mass Ion Calculations'!$C18-'Mass Ion Calculations'!$D$5,'Mass Ion Calculations'!$F$15+'AA Exact Masses'!$Q$3-'Mass Ion Calculations'!$E$14-'Mass Ion Calculations'!$E18-'Mass Ion Calculations'!$D$5)))</f>
        <v>243.90750000000003</v>
      </c>
      <c r="L17" s="3">
        <f>IF(OR($B17="",L$3=""),"",IF('Mass Ion Calculations'!$D$6="Yes",IF('Mass Ion Calculations'!$D$7="Yes",'Mass Ion Calculations'!$D$18+'AA Exact Masses'!$Q$3-'Mass Ion Calculations'!$C$14-'Mass Ion Calculations'!$C18-'Mass Ion Calculations'!$D$5,'Mass Ion Calculations'!$F$18+'AA Exact Masses'!$Q$3-'Mass Ion Calculations'!$E$15-'Mass Ion Calculations'!$E18-'Mass Ion Calculations'!$D$5),IF('Mass Ion Calculations'!$D$7="Yes", 'Mass Ion Calculations'!$D$15+'AA Exact Masses'!$Q$3-'Mass Ion Calculations'!$C$14-'Mass Ion Calculations'!$C18-'Mass Ion Calculations'!$D$5,'Mass Ion Calculations'!$F$15+'AA Exact Masses'!$Q$3-'Mass Ion Calculations'!$E$15-'Mass Ion Calculations'!$E18-'Mass Ion Calculations'!$D$5)))</f>
        <v>257.92315000000008</v>
      </c>
      <c r="M17" s="3">
        <f>IF(OR($B17="",M$3=""),"",IF('Mass Ion Calculations'!$D$6="Yes",IF('Mass Ion Calculations'!$D$7="Yes",'Mass Ion Calculations'!$D$18+'AA Exact Masses'!$Q$3-'Mass Ion Calculations'!$C$15-'Mass Ion Calculations'!$C18-'Mass Ion Calculations'!$D$5,'Mass Ion Calculations'!$F$18+'AA Exact Masses'!$Q$3-'Mass Ion Calculations'!$E$16-'Mass Ion Calculations'!$E18-'Mass Ion Calculations'!$D$5),IF('Mass Ion Calculations'!$D$7="Yes", 'Mass Ion Calculations'!$D$15+'AA Exact Masses'!$Q$3-'Mass Ion Calculations'!$C$15-'Mass Ion Calculations'!$C18-'Mass Ion Calculations'!$D$5,'Mass Ion Calculations'!$F$15+'AA Exact Masses'!$Q$3-'Mass Ion Calculations'!$E$16-'Mass Ion Calculations'!$E18-'Mass Ion Calculations'!$D$5)))</f>
        <v>301.91298000000006</v>
      </c>
      <c r="N17" s="3">
        <f>IF(OR($B17="",N$3=""),"",IF('Mass Ion Calculations'!$D$6="Yes",IF('Mass Ion Calculations'!$D$7="Yes",'Mass Ion Calculations'!$D$18+'AA Exact Masses'!$Q$3-'Mass Ion Calculations'!$C$16-'Mass Ion Calculations'!$C18-'Mass Ion Calculations'!$D$5,'Mass Ion Calculations'!$F$18+'AA Exact Masses'!$Q$3-'Mass Ion Calculations'!$E$17-'Mass Ion Calculations'!$E18-'Mass Ion Calculations'!$D$5),IF('Mass Ion Calculations'!$D$7="Yes", 'Mass Ion Calculations'!$D$15+'AA Exact Masses'!$Q$3-'Mass Ion Calculations'!$C$16-'Mass Ion Calculations'!$C18-'Mass Ion Calculations'!$D$5,'Mass Ion Calculations'!$F$15+'AA Exact Masses'!$Q$3-'Mass Ion Calculations'!$E$17-'Mass Ion Calculations'!$E18-'Mass Ion Calculations'!$D$5)))</f>
        <v>225.88167999999996</v>
      </c>
      <c r="O17" s="3">
        <f>IF(OR($B17="",O$3=""),"",IF('Mass Ion Calculations'!$D$6="Yes",IF('Mass Ion Calculations'!$D$7="Yes",'Mass Ion Calculations'!$D$18+'AA Exact Masses'!$Q$3-'Mass Ion Calculations'!$C$17-'Mass Ion Calculations'!$C18-'Mass Ion Calculations'!$D$5,'Mass Ion Calculations'!$F$18+'AA Exact Masses'!$Q$3-'Mass Ion Calculations'!$E$18-'Mass Ion Calculations'!$E18-'Mass Ion Calculations'!$D$5),IF('Mass Ion Calculations'!$D$7="Yes", 'Mass Ion Calculations'!$D$15+'AA Exact Masses'!$Q$3-'Mass Ion Calculations'!$C$17-'Mass Ion Calculations'!$C18-'Mass Ion Calculations'!$D$5,'Mass Ion Calculations'!$F$15+'AA Exact Masses'!$Q$3-'Mass Ion Calculations'!$E$18-'Mass Ion Calculations'!$E18-'Mass Ion Calculations'!$D$5)))</f>
        <v>99.985030000000052</v>
      </c>
      <c r="P17" s="3">
        <f>IF(OR($B17="",P$3=""),"",IF('Mass Ion Calculations'!$D$6="Yes",IF('Mass Ion Calculations'!$D$7="Yes",'Mass Ion Calculations'!$D$18+'AA Exact Masses'!$Q$3-'Mass Ion Calculations'!$C$19-'Mass Ion Calculations'!$C18-'Mass Ion Calculations'!$D$5,'Mass Ion Calculations'!$F$18+'AA Exact Masses'!$Q$3-'Mass Ion Calculations'!$E$19-'Mass Ion Calculations'!$E18-'Mass Ion Calculations'!$D$5),IF('Mass Ion Calculations'!$D$7="Yes", 'Mass Ion Calculations'!$D$15+'AA Exact Masses'!$Q$3-'Mass Ion Calculations'!$C$19-'Mass Ion Calculations'!$C18-'Mass Ion Calculations'!$D$5,'Mass Ion Calculations'!$F$15+'AA Exact Masses'!$Q$3-'Mass Ion Calculations'!$E$19-'Mass Ion Calculations'!$E18-'Mass Ion Calculations'!$D$5)))</f>
        <v>273.88167999999996</v>
      </c>
      <c r="Q17" s="3">
        <f>IF(OR($B17="",Q$3=""),"",IF('Mass Ion Calculations'!$D$6="Yes",IF('Mass Ion Calculations'!$D$7="Yes",'Mass Ion Calculations'!$D$18+'AA Exact Masses'!$Q$3-'Mass Ion Calculations'!$C$20-'Mass Ion Calculations'!$C18-'Mass Ion Calculations'!$D$5,'Mass Ion Calculations'!$F$18+'AA Exact Masses'!$Q$3-'Mass Ion Calculations'!$E$20-'Mass Ion Calculations'!$E18-'Mass Ion Calculations'!$D$5),IF('Mass Ion Calculations'!$D$7="Yes", 'Mass Ion Calculations'!$D$15+'AA Exact Masses'!$Q$3-'Mass Ion Calculations'!$C$20-'Mass Ion Calculations'!$C18-'Mass Ion Calculations'!$D$5,'Mass Ion Calculations'!$F$15+'AA Exact Masses'!$Q$3-'Mass Ion Calculations'!$E$20-'Mass Ion Calculations'!$E18-'Mass Ion Calculations'!$D$5)))</f>
        <v>259.86603000000014</v>
      </c>
      <c r="R17" s="3" t="e">
        <f>IF(OR($B17="",R$3=""),"",IF('Mass Ion Calculations'!$D$6="Yes",IF('Mass Ion Calculations'!$D$7="Yes",'Mass Ion Calculations'!$D$18+'AA Exact Masses'!$Q$3-'Mass Ion Calculations'!$C$21-'Mass Ion Calculations'!$C18-'Mass Ion Calculations'!$D$5,'Mass Ion Calculations'!$F$18+'AA Exact Masses'!$Q$3-'Mass Ion Calculations'!$E$21-'Mass Ion Calculations'!$E18-'Mass Ion Calculations'!$D$5),IF('Mass Ion Calculations'!$D$7="Yes", 'Mass Ion Calculations'!$D$15+'AA Exact Masses'!$Q$3-'Mass Ion Calculations'!$C$21-'Mass Ion Calculations'!$C18-'Mass Ion Calculations'!$D$5,'Mass Ion Calculations'!$F$15+'AA Exact Masses'!$Q$3-'Mass Ion Calculations'!$E$21-'Mass Ion Calculations'!$E18-'Mass Ion Calculations'!$D$5)))</f>
        <v>#VALUE!</v>
      </c>
      <c r="S17" s="3" t="str">
        <f>IF(OR($B17="",S$3=""),"",IF('Mass Ion Calculations'!$D$6="Yes",IF('Mass Ion Calculations'!$D$7="Yes",'Mass Ion Calculations'!$D$18+'AA Exact Masses'!$Q$3-'Mass Ion Calculations'!$C$21-'Mass Ion Calculations'!$C18-'Mass Ion Calculations'!$D$5,'Mass Ion Calculations'!$F$18+'AA Exact Masses'!$Q$3-'Mass Ion Calculations'!$E$21-'Mass Ion Calculations'!$E18-'Mass Ion Calculations'!$D$5),IF('Mass Ion Calculations'!$D$7="Yes", 'Mass Ion Calculations'!$D$15+'AA Exact Masses'!$Q$3-'Mass Ion Calculations'!$C$21-'Mass Ion Calculations'!$C18-'Mass Ion Calculations'!$D$5,'Mass Ion Calculations'!$F$15+'AA Exact Masses'!$Q$3-'Mass Ion Calculations'!$E$21-'Mass Ion Calculations'!$E18-'Mass Ion Calculations'!$D$5)))</f>
        <v/>
      </c>
      <c r="T17" s="3" t="e">
        <f>IF(OR($B17="",T$3=""),"",IF('Mass Ion Calculations'!$D$6="Yes",IF('Mass Ion Calculations'!$D$7="Yes",'Mass Ion Calculations'!$D$18+'AA Exact Masses'!$Q$3-'Mass Ion Calculations'!$C$22-'Mass Ion Calculations'!$C18-'Mass Ion Calculations'!$D$5,'Mass Ion Calculations'!$F$18+'AA Exact Masses'!$Q$3-'Mass Ion Calculations'!$E$22-'Mass Ion Calculations'!#REF!-'Mass Ion Calculations'!$D$5),IF('Mass Ion Calculations'!$D$7="Yes", 'Mass Ion Calculations'!$D$15+'AA Exact Masses'!$Q$3-'Mass Ion Calculations'!$C$22-'Mass Ion Calculations'!$C18-'Mass Ion Calculations'!$D$5,'Mass Ion Calculations'!$F$15+'AA Exact Masses'!$Q$3-'Mass Ion Calculations'!$E$22-'Mass Ion Calculations'!#REF!-'Mass Ion Calculations'!$D$5)))</f>
        <v>#VALUE!</v>
      </c>
      <c r="U17" s="3" t="e">
        <f>IF(OR($B17="",U$3=""),"",IF('Mass Ion Calculations'!$D$6="Yes",IF('Mass Ion Calculations'!$D$7="Yes",'Mass Ion Calculations'!$D$18+'AA Exact Masses'!$Q$3-'Mass Ion Calculations'!$C$23-'Mass Ion Calculations'!$C18-'Mass Ion Calculations'!$D$5,'Mass Ion Calculations'!$F$18+'AA Exact Masses'!$Q$3-'Mass Ion Calculations'!$E$23-'Mass Ion Calculations'!#REF!-'Mass Ion Calculations'!$D$5),IF('Mass Ion Calculations'!$D$7="Yes", 'Mass Ion Calculations'!$D$15+'AA Exact Masses'!$Q$3-'Mass Ion Calculations'!$C$23-'Mass Ion Calculations'!$C18-'Mass Ion Calculations'!$D$5,'Mass Ion Calculations'!$F$15+'AA Exact Masses'!$Q$3-'Mass Ion Calculations'!$E$23-'Mass Ion Calculations'!#REF!-'Mass Ion Calculations'!$D$5)))</f>
        <v>#VALUE!</v>
      </c>
      <c r="V17" s="3" t="str">
        <f>IF(OR($B17="",V$3=""),"",IF('Mass Ion Calculations'!$D$6="Yes",IF('Mass Ion Calculations'!$D$7="Yes",'Mass Ion Calculations'!$D$18+'AA Exact Masses'!$Q$3-'Mass Ion Calculations'!$C$24-'Mass Ion Calculations'!$C18-'Mass Ion Calculations'!$D$5,'Mass Ion Calculations'!$F$18+'AA Exact Masses'!$Q$3-'Mass Ion Calculations'!$E$24-'Mass Ion Calculations'!#REF!-'Mass Ion Calculations'!$D$5),IF('Mass Ion Calculations'!$D$7="Yes", 'Mass Ion Calculations'!$D$15+'AA Exact Masses'!$Q$3-'Mass Ion Calculations'!$C$24-'Mass Ion Calculations'!$C18-'Mass Ion Calculations'!$D$5,'Mass Ion Calculations'!$F$15+'AA Exact Masses'!$Q$3-'Mass Ion Calculations'!$E$24-'Mass Ion Calculations'!#REF!-'Mass Ion Calculations'!$D$5)))</f>
        <v/>
      </c>
      <c r="W17" s="3" t="str">
        <f>IF(OR($B17="",W$3=""),"",IF('Mass Ion Calculations'!$D$6="Yes",IF('Mass Ion Calculations'!$D$7="Yes",'Mass Ion Calculations'!$D$18+'AA Exact Masses'!$Q$3-'Mass Ion Calculations'!$C$25-'Mass Ion Calculations'!$C18-'Mass Ion Calculations'!$D$5,'Mass Ion Calculations'!$F$18+'AA Exact Masses'!$Q$3-'Mass Ion Calculations'!$E$25-'Mass Ion Calculations'!#REF!-'Mass Ion Calculations'!$D$5),IF('Mass Ion Calculations'!$D$7="Yes", 'Mass Ion Calculations'!$D$15+'AA Exact Masses'!$Q$3-'Mass Ion Calculations'!$C$25-'Mass Ion Calculations'!$C18-'Mass Ion Calculations'!$D$5,'Mass Ion Calculations'!$F$15+'AA Exact Masses'!$Q$3-'Mass Ion Calculations'!$E$25-'Mass Ion Calculations'!#REF!-'Mass Ion Calculations'!$D$5)))</f>
        <v/>
      </c>
      <c r="X17" s="3" t="str">
        <f>IF(OR($B17="",X$3=""),"",IF('Mass Ion Calculations'!$D$6="Yes",IF('Mass Ion Calculations'!$D$7="Yes",'Mass Ion Calculations'!$D$18+'AA Exact Masses'!$Q$3-'Mass Ion Calculations'!$C$26-'Mass Ion Calculations'!$C18-'Mass Ion Calculations'!$D$5,'Mass Ion Calculations'!$F$18+'AA Exact Masses'!$Q$3-'Mass Ion Calculations'!$E$26-'Mass Ion Calculations'!#REF!-'Mass Ion Calculations'!$D$5),IF('Mass Ion Calculations'!$D$7="Yes", 'Mass Ion Calculations'!$D$15+'AA Exact Masses'!$Q$3-'Mass Ion Calculations'!$C$26-'Mass Ion Calculations'!$C18-'Mass Ion Calculations'!$D$5,'Mass Ion Calculations'!$F$15+'AA Exact Masses'!$Q$3-'Mass Ion Calculations'!$E$26-'Mass Ion Calculations'!#REF!-'Mass Ion Calculations'!$D$5)))</f>
        <v/>
      </c>
      <c r="Y17" s="3" t="str">
        <f>IF(OR($B17="",Y$3=""),"",IF('Mass Ion Calculations'!$D$6="Yes",IF('Mass Ion Calculations'!$D$7="Yes",'Mass Ion Calculations'!$D$18+'AA Exact Masses'!$Q$3-'Mass Ion Calculations'!$C$27-'Mass Ion Calculations'!$C18-'Mass Ion Calculations'!$D$5,'Mass Ion Calculations'!$F$18+'AA Exact Masses'!$Q$3-'Mass Ion Calculations'!$E$27-'Mass Ion Calculations'!#REF!-'Mass Ion Calculations'!$D$5),IF('Mass Ion Calculations'!$D$7="Yes", 'Mass Ion Calculations'!$D$15+'AA Exact Masses'!$Q$3-'Mass Ion Calculations'!$C$27-'Mass Ion Calculations'!$C18-'Mass Ion Calculations'!$D$5,'Mass Ion Calculations'!$F$15+'AA Exact Masses'!$Q$3-'Mass Ion Calculations'!$E$27-'Mass Ion Calculations'!#REF!-'Mass Ion Calculations'!$D$5)))</f>
        <v/>
      </c>
      <c r="Z17" s="3" t="str">
        <f>IF(OR($B17="",Z$3=""),"",IF('Mass Ion Calculations'!$D$6="Yes",IF('Mass Ion Calculations'!$D$7="Yes",'Mass Ion Calculations'!$D$18+'AA Exact Masses'!$Q$3-'Mass Ion Calculations'!$C$28-'Mass Ion Calculations'!$C18-'Mass Ion Calculations'!$D$5,'Mass Ion Calculations'!$F$18+'AA Exact Masses'!$Q$3-'Mass Ion Calculations'!$E$28-'Mass Ion Calculations'!#REF!-'Mass Ion Calculations'!$D$5),IF('Mass Ion Calculations'!$D$7="Yes", 'Mass Ion Calculations'!$D$15+'AA Exact Masses'!$Q$3-'Mass Ion Calculations'!$C$28-'Mass Ion Calculations'!$C18-'Mass Ion Calculations'!$D$5,'Mass Ion Calculations'!$F$15+'AA Exact Masses'!$Q$3-'Mass Ion Calculations'!$E$28-'Mass Ion Calculations'!#REF!-'Mass Ion Calculations'!$D$5)))</f>
        <v/>
      </c>
    </row>
    <row r="18" spans="2:26" x14ac:dyDescent="0.25">
      <c r="B18" s="4" t="str">
        <f>IF('Mass Ion Calculations'!B19="","",'Mass Ion Calculations'!B19)</f>
        <v>Val</v>
      </c>
      <c r="C18" s="3">
        <f>IF(OR($B18="",C$3=""),"",IF('Mass Ion Calculations'!$D$6="Yes",IF('Mass Ion Calculations'!$D$7="Yes",'Mass Ion Calculations'!$D$18+'AA Exact Masses'!$Q$3-'Mass Ion Calculations'!$C$5-'Mass Ion Calculations'!$C19-'Mass Ion Calculations'!$D$5,'Mass Ion Calculations'!$F$18+'AA Exact Masses'!$Q$3-'Mass Ion Calculations'!$E$5-'Mass Ion Calculations'!$E19-'Mass Ion Calculations'!$D$5),IF('Mass Ion Calculations'!$D$7="Yes", 'Mass Ion Calculations'!$D$15+'AA Exact Masses'!$Q$3-'Mass Ion Calculations'!$C$5-'Mass Ion Calculations'!$C19-'Mass Ion Calculations'!$D$5,'Mass Ion Calculations'!$F$15+'AA Exact Masses'!$Q$3-'Mass Ion Calculations'!$E$5-'Mass Ion Calculations'!$E19-'Mass Ion Calculations'!$D$5)))</f>
        <v>432.7674199999999</v>
      </c>
      <c r="D18" s="3">
        <f>IF(OR($B18="",D$3=""),"",IF('Mass Ion Calculations'!$D$6="Yes",IF('Mass Ion Calculations'!$D$7="Yes",'Mass Ion Calculations'!$D$18+'AA Exact Masses'!$Q$3-'Mass Ion Calculations'!$C$6-'Mass Ion Calculations'!$C19-'Mass Ion Calculations'!$D$5,'Mass Ion Calculations'!$F$18+'AA Exact Masses'!$Q$3-'Mass Ion Calculations'!$E$6-'Mass Ion Calculations'!$E19-'Mass Ion Calculations'!$D$5),IF('Mass Ion Calculations'!$D$7="Yes", 'Mass Ion Calculations'!$D$15+'AA Exact Masses'!$Q$3-'Mass Ion Calculations'!$C$6-'Mass Ion Calculations'!$C19-'Mass Ion Calculations'!$D$5,'Mass Ion Calculations'!$F$15+'AA Exact Masses'!$Q$3-'Mass Ion Calculations'!$E$6-'Mass Ion Calculations'!$E19-'Mass Ion Calculations'!$D$5)))</f>
        <v>475.80962999999997</v>
      </c>
      <c r="E18" s="3">
        <f>IF(OR($B18="",E$3=""),"",IF('Mass Ion Calculations'!$D$6="Yes",IF('Mass Ion Calculations'!$D$7="Yes",'Mass Ion Calculations'!$D$18+'AA Exact Masses'!$Q$3-'Mass Ion Calculations'!$C$7-'Mass Ion Calculations'!$C19-'Mass Ion Calculations'!$D$5,'Mass Ion Calculations'!$F$18+'AA Exact Masses'!$Q$3-'Mass Ion Calculations'!$E$7-'Mass Ion Calculations'!$E19-'Mass Ion Calculations'!$D$5),IF('Mass Ion Calculations'!$D$7="Yes", 'Mass Ion Calculations'!$D$15+'AA Exact Masses'!$Q$3-'Mass Ion Calculations'!$C$7-'Mass Ion Calculations'!$C19-'Mass Ion Calculations'!$D$5,'Mass Ion Calculations'!$F$15+'AA Exact Masses'!$Q$3-'Mass Ion Calculations'!$E$7-'Mass Ion Calculations'!$E19-'Mass Ion Calculations'!$D$5)))</f>
        <v>433.76268000000005</v>
      </c>
      <c r="F18" s="3">
        <f>IF(OR($B18="",F$3=""),"",IF('Mass Ion Calculations'!$D$6="Yes",IF('Mass Ion Calculations'!$D$7="Yes",'Mass Ion Calculations'!$D$18+'AA Exact Masses'!$Q$3-'Mass Ion Calculations'!$C$8-'Mass Ion Calculations'!$C19-'Mass Ion Calculations'!$D$5,'Mass Ion Calculations'!$F$18+'AA Exact Masses'!$Q$3-'Mass Ion Calculations'!$E$8-'Mass Ion Calculations'!$E19-'Mass Ion Calculations'!$D$5),IF('Mass Ion Calculations'!$D$7="Yes", 'Mass Ion Calculations'!$D$15+'AA Exact Masses'!$Q$3-'Mass Ion Calculations'!$C$8-'Mass Ion Calculations'!$C19-'Mass Ion Calculations'!$D$5,'Mass Ion Calculations'!$F$15+'AA Exact Masses'!$Q$3-'Mass Ion Calculations'!$E$8-'Mass Ion Calculations'!$E19-'Mass Ion Calculations'!$D$5)))</f>
        <v>433.76268000000005</v>
      </c>
      <c r="G18" s="3">
        <f>IF(OR($B18="",G$3=""),"",IF('Mass Ion Calculations'!$D$6="Yes",IF('Mass Ion Calculations'!$D$7="Yes",'Mass Ion Calculations'!$D$18+'AA Exact Masses'!$Q$3-'Mass Ion Calculations'!$C$9-'Mass Ion Calculations'!$C19-'Mass Ion Calculations'!$D$5,'Mass Ion Calculations'!$F$18+'AA Exact Masses'!$Q$3-'Mass Ion Calculations'!$E$9-'Mass Ion Calculations'!$E19-'Mass Ion Calculations'!$D$5),IF('Mass Ion Calculations'!$D$7="Yes", 'Mass Ion Calculations'!$D$15+'AA Exact Masses'!$Q$3-'Mass Ion Calculations'!$C$9-'Mass Ion Calculations'!$C19-'Mass Ion Calculations'!$D$5,'Mass Ion Calculations'!$F$15+'AA Exact Masses'!$Q$3-'Mass Ion Calculations'!$E$9-'Mass Ion Calculations'!$E19-'Mass Ion Calculations'!$D$5)))</f>
        <v>475.80962999999997</v>
      </c>
      <c r="H18" s="3">
        <f>IF(OR($B18="",H$3=""),"",IF('Mass Ion Calculations'!$D$6="Yes",IF('Mass Ion Calculations'!$D$7="Yes",'Mass Ion Calculations'!$D$18+'AA Exact Masses'!$Q$3-'Mass Ion Calculations'!$C$10-'Mass Ion Calculations'!$C19-'Mass Ion Calculations'!$D$5,'Mass Ion Calculations'!$F$18+'AA Exact Masses'!$Q$3-'Mass Ion Calculations'!$E$10-'Mass Ion Calculations'!$E19-'Mass Ion Calculations'!$D$5),IF('Mass Ion Calculations'!$D$7="Yes", 'Mass Ion Calculations'!$D$15+'AA Exact Masses'!$Q$3-'Mass Ion Calculations'!$C$10-'Mass Ion Calculations'!$C19-'Mass Ion Calculations'!$D$5,'Mass Ion Calculations'!$F$15+'AA Exact Masses'!$Q$3-'Mass Ion Calculations'!$E$10-'Mass Ion Calculations'!$E19-'Mass Ion Calculations'!$D$5)))</f>
        <v>433.76268000000005</v>
      </c>
      <c r="I18" s="3">
        <f>IF(OR($B18="",I$3=""),"",IF('Mass Ion Calculations'!$D$6="Yes",IF('Mass Ion Calculations'!$D$7="Yes",'Mass Ion Calculations'!$D$18+'AA Exact Masses'!$Q$3-'Mass Ion Calculations'!$C$11-'Mass Ion Calculations'!$C19-'Mass Ion Calculations'!$D$5,'Mass Ion Calculations'!$F$18+'AA Exact Masses'!$Q$3-'Mass Ion Calculations'!$E$11-'Mass Ion Calculations'!$E19-'Mass Ion Calculations'!$D$5),IF('Mass Ion Calculations'!$D$7="Yes", 'Mass Ion Calculations'!$D$15+'AA Exact Masses'!$Q$3-'Mass Ion Calculations'!$C$11-'Mass Ion Calculations'!$C19-'Mass Ion Calculations'!$D$5,'Mass Ion Calculations'!$F$15+'AA Exact Masses'!$Q$3-'Mass Ion Calculations'!$E$11-'Mass Ion Calculations'!$E19-'Mass Ion Calculations'!$D$5)))</f>
        <v>432.7674199999999</v>
      </c>
      <c r="J18" s="3">
        <f>IF(OR($B18="",J$3=""),"",IF('Mass Ion Calculations'!$D$6="Yes",IF('Mass Ion Calculations'!$D$7="Yes",'Mass Ion Calculations'!$D$18+'AA Exact Masses'!$Q$3-'Mass Ion Calculations'!$C$12-'Mass Ion Calculations'!$C19-'Mass Ion Calculations'!$D$5,'Mass Ion Calculations'!$F$18+'AA Exact Masses'!$Q$3-'Mass Ion Calculations'!$E$12-'Mass Ion Calculations'!$E19-'Mass Ion Calculations'!$D$5),IF('Mass Ion Calculations'!$D$7="Yes", 'Mass Ion Calculations'!$D$15+'AA Exact Masses'!$Q$3-'Mass Ion Calculations'!$C$12-'Mass Ion Calculations'!$C19-'Mass Ion Calculations'!$D$5,'Mass Ion Calculations'!$F$15+'AA Exact Masses'!$Q$3-'Mass Ion Calculations'!$E$12-'Mass Ion Calculations'!$E19-'Mass Ion Calculations'!$D$5)))</f>
        <v>447.77832999999987</v>
      </c>
      <c r="K18" s="3">
        <f>IF(OR($B18="",K$3=""),"",IF('Mass Ion Calculations'!$D$6="Yes",IF('Mass Ion Calculations'!$D$7="Yes",'Mass Ion Calculations'!$D$18+'AA Exact Masses'!$Q$3-'Mass Ion Calculations'!$C$13-'Mass Ion Calculations'!$C19-'Mass Ion Calculations'!$D$5,'Mass Ion Calculations'!$F$18+'AA Exact Masses'!$Q$3-'Mass Ion Calculations'!$E$14-'Mass Ion Calculations'!$E19-'Mass Ion Calculations'!$D$5),IF('Mass Ion Calculations'!$D$7="Yes", 'Mass Ion Calculations'!$D$15+'AA Exact Masses'!$Q$3-'Mass Ion Calculations'!$C$13-'Mass Ion Calculations'!$C19-'Mass Ion Calculations'!$D$5,'Mass Ion Calculations'!$F$15+'AA Exact Masses'!$Q$3-'Mass Ion Calculations'!$E$14-'Mass Ion Calculations'!$E19-'Mass Ion Calculations'!$D$5)))</f>
        <v>417.80414999999994</v>
      </c>
      <c r="L18" s="3">
        <f>IF(OR($B18="",L$3=""),"",IF('Mass Ion Calculations'!$D$6="Yes",IF('Mass Ion Calculations'!$D$7="Yes",'Mass Ion Calculations'!$D$18+'AA Exact Masses'!$Q$3-'Mass Ion Calculations'!$C$14-'Mass Ion Calculations'!$C19-'Mass Ion Calculations'!$D$5,'Mass Ion Calculations'!$F$18+'AA Exact Masses'!$Q$3-'Mass Ion Calculations'!$E$15-'Mass Ion Calculations'!$E19-'Mass Ion Calculations'!$D$5),IF('Mass Ion Calculations'!$D$7="Yes", 'Mass Ion Calculations'!$D$15+'AA Exact Masses'!$Q$3-'Mass Ion Calculations'!$C$14-'Mass Ion Calculations'!$C19-'Mass Ion Calculations'!$D$5,'Mass Ion Calculations'!$F$15+'AA Exact Masses'!$Q$3-'Mass Ion Calculations'!$E$15-'Mass Ion Calculations'!$E19-'Mass Ion Calculations'!$D$5)))</f>
        <v>431.81979999999999</v>
      </c>
      <c r="M18" s="3">
        <f>IF(OR($B18="",M$3=""),"",IF('Mass Ion Calculations'!$D$6="Yes",IF('Mass Ion Calculations'!$D$7="Yes",'Mass Ion Calculations'!$D$18+'AA Exact Masses'!$Q$3-'Mass Ion Calculations'!$C$15-'Mass Ion Calculations'!$C19-'Mass Ion Calculations'!$D$5,'Mass Ion Calculations'!$F$18+'AA Exact Masses'!$Q$3-'Mass Ion Calculations'!$E$16-'Mass Ion Calculations'!$E19-'Mass Ion Calculations'!$D$5),IF('Mass Ion Calculations'!$D$7="Yes", 'Mass Ion Calculations'!$D$15+'AA Exact Masses'!$Q$3-'Mass Ion Calculations'!$C$15-'Mass Ion Calculations'!$C19-'Mass Ion Calculations'!$D$5,'Mass Ion Calculations'!$F$15+'AA Exact Masses'!$Q$3-'Mass Ion Calculations'!$E$16-'Mass Ion Calculations'!$E19-'Mass Ion Calculations'!$D$5)))</f>
        <v>475.80962999999997</v>
      </c>
      <c r="N18" s="3">
        <f>IF(OR($B18="",N$3=""),"",IF('Mass Ion Calculations'!$D$6="Yes",IF('Mass Ion Calculations'!$D$7="Yes",'Mass Ion Calculations'!$D$18+'AA Exact Masses'!$Q$3-'Mass Ion Calculations'!$C$16-'Mass Ion Calculations'!$C19-'Mass Ion Calculations'!$D$5,'Mass Ion Calculations'!$F$18+'AA Exact Masses'!$Q$3-'Mass Ion Calculations'!$E$17-'Mass Ion Calculations'!$E19-'Mass Ion Calculations'!$D$5),IF('Mass Ion Calculations'!$D$7="Yes", 'Mass Ion Calculations'!$D$15+'AA Exact Masses'!$Q$3-'Mass Ion Calculations'!$C$16-'Mass Ion Calculations'!$C19-'Mass Ion Calculations'!$D$5,'Mass Ion Calculations'!$F$15+'AA Exact Masses'!$Q$3-'Mass Ion Calculations'!$E$17-'Mass Ion Calculations'!$E19-'Mass Ion Calculations'!$D$5)))</f>
        <v>399.77832999999987</v>
      </c>
      <c r="O18" s="3">
        <f>IF(OR($B18="",O$3=""),"",IF('Mass Ion Calculations'!$D$6="Yes",IF('Mass Ion Calculations'!$D$7="Yes",'Mass Ion Calculations'!$D$18+'AA Exact Masses'!$Q$3-'Mass Ion Calculations'!$C$17-'Mass Ion Calculations'!$C19-'Mass Ion Calculations'!$D$5,'Mass Ion Calculations'!$F$18+'AA Exact Masses'!$Q$3-'Mass Ion Calculations'!$E$18-'Mass Ion Calculations'!$E19-'Mass Ion Calculations'!$D$5),IF('Mass Ion Calculations'!$D$7="Yes", 'Mass Ion Calculations'!$D$15+'AA Exact Masses'!$Q$3-'Mass Ion Calculations'!$C$17-'Mass Ion Calculations'!$C19-'Mass Ion Calculations'!$D$5,'Mass Ion Calculations'!$F$15+'AA Exact Masses'!$Q$3-'Mass Ion Calculations'!$E$18-'Mass Ion Calculations'!$E19-'Mass Ion Calculations'!$D$5)))</f>
        <v>273.88167999999996</v>
      </c>
      <c r="P18" s="3">
        <f>IF(OR($B18="",P$3=""),"",IF('Mass Ion Calculations'!$D$6="Yes",IF('Mass Ion Calculations'!$D$7="Yes",'Mass Ion Calculations'!$D$18+'AA Exact Masses'!$Q$3-'Mass Ion Calculations'!$C$19-'Mass Ion Calculations'!$C19-'Mass Ion Calculations'!$D$5,'Mass Ion Calculations'!$F$18+'AA Exact Masses'!$Q$3-'Mass Ion Calculations'!$E$19-'Mass Ion Calculations'!$E19-'Mass Ion Calculations'!$D$5),IF('Mass Ion Calculations'!$D$7="Yes", 'Mass Ion Calculations'!$D$15+'AA Exact Masses'!$Q$3-'Mass Ion Calculations'!$C$19-'Mass Ion Calculations'!$C19-'Mass Ion Calculations'!$D$5,'Mass Ion Calculations'!$F$15+'AA Exact Masses'!$Q$3-'Mass Ion Calculations'!$E$19-'Mass Ion Calculations'!$E19-'Mass Ion Calculations'!$D$5)))</f>
        <v>447.77832999999987</v>
      </c>
      <c r="Q18" s="3">
        <f>IF(OR($B18="",Q$3=""),"",IF('Mass Ion Calculations'!$D$6="Yes",IF('Mass Ion Calculations'!$D$7="Yes",'Mass Ion Calculations'!$D$18+'AA Exact Masses'!$Q$3-'Mass Ion Calculations'!$C$20-'Mass Ion Calculations'!$C19-'Mass Ion Calculations'!$D$5,'Mass Ion Calculations'!$F$18+'AA Exact Masses'!$Q$3-'Mass Ion Calculations'!$E$20-'Mass Ion Calculations'!$E19-'Mass Ion Calculations'!$D$5),IF('Mass Ion Calculations'!$D$7="Yes", 'Mass Ion Calculations'!$D$15+'AA Exact Masses'!$Q$3-'Mass Ion Calculations'!$C$20-'Mass Ion Calculations'!$C19-'Mass Ion Calculations'!$D$5,'Mass Ion Calculations'!$F$15+'AA Exact Masses'!$Q$3-'Mass Ion Calculations'!$E$20-'Mass Ion Calculations'!$E19-'Mass Ion Calculations'!$D$5)))</f>
        <v>433.76268000000005</v>
      </c>
      <c r="R18" s="3" t="e">
        <f>IF(OR($B18="",R$3=""),"",IF('Mass Ion Calculations'!$D$6="Yes",IF('Mass Ion Calculations'!$D$7="Yes",'Mass Ion Calculations'!$D$18+'AA Exact Masses'!$Q$3-'Mass Ion Calculations'!$C$21-'Mass Ion Calculations'!$C19-'Mass Ion Calculations'!$D$5,'Mass Ion Calculations'!$F$18+'AA Exact Masses'!$Q$3-'Mass Ion Calculations'!$E$21-'Mass Ion Calculations'!$E19-'Mass Ion Calculations'!$D$5),IF('Mass Ion Calculations'!$D$7="Yes", 'Mass Ion Calculations'!$D$15+'AA Exact Masses'!$Q$3-'Mass Ion Calculations'!$C$21-'Mass Ion Calculations'!$C19-'Mass Ion Calculations'!$D$5,'Mass Ion Calculations'!$F$15+'AA Exact Masses'!$Q$3-'Mass Ion Calculations'!$E$21-'Mass Ion Calculations'!$E19-'Mass Ion Calculations'!$D$5)))</f>
        <v>#VALUE!</v>
      </c>
      <c r="S18" s="3" t="str">
        <f>IF(OR($B18="",S$3=""),"",IF('Mass Ion Calculations'!$D$6="Yes",IF('Mass Ion Calculations'!$D$7="Yes",'Mass Ion Calculations'!$D$18+'AA Exact Masses'!$Q$3-'Mass Ion Calculations'!$C$21-'Mass Ion Calculations'!$C19-'Mass Ion Calculations'!$D$5,'Mass Ion Calculations'!$F$18+'AA Exact Masses'!$Q$3-'Mass Ion Calculations'!$E$21-'Mass Ion Calculations'!$E19-'Mass Ion Calculations'!$D$5),IF('Mass Ion Calculations'!$D$7="Yes", 'Mass Ion Calculations'!$D$15+'AA Exact Masses'!$Q$3-'Mass Ion Calculations'!$C$21-'Mass Ion Calculations'!$C19-'Mass Ion Calculations'!$D$5,'Mass Ion Calculations'!$F$15+'AA Exact Masses'!$Q$3-'Mass Ion Calculations'!$E$21-'Mass Ion Calculations'!$E19-'Mass Ion Calculations'!$D$5)))</f>
        <v/>
      </c>
      <c r="T18" s="3" t="e">
        <f>IF(OR($B18="",T$3=""),"",IF('Mass Ion Calculations'!$D$6="Yes",IF('Mass Ion Calculations'!$D$7="Yes",'Mass Ion Calculations'!$D$18+'AA Exact Masses'!$Q$3-'Mass Ion Calculations'!$C$22-'Mass Ion Calculations'!$C19-'Mass Ion Calculations'!$D$5,'Mass Ion Calculations'!$F$18+'AA Exact Masses'!$Q$3-'Mass Ion Calculations'!$E$22-'Mass Ion Calculations'!$E19-'Mass Ion Calculations'!$D$5),IF('Mass Ion Calculations'!$D$7="Yes", 'Mass Ion Calculations'!$D$15+'AA Exact Masses'!$Q$3-'Mass Ion Calculations'!$C$22-'Mass Ion Calculations'!$C19-'Mass Ion Calculations'!$D$5,'Mass Ion Calculations'!$F$15+'AA Exact Masses'!$Q$3-'Mass Ion Calculations'!$E$22-'Mass Ion Calculations'!$E19-'Mass Ion Calculations'!$D$5)))</f>
        <v>#VALUE!</v>
      </c>
      <c r="U18" s="3" t="e">
        <f>IF(OR($B18="",U$3=""),"",IF('Mass Ion Calculations'!$D$6="Yes",IF('Mass Ion Calculations'!$D$7="Yes",'Mass Ion Calculations'!$D$18+'AA Exact Masses'!$Q$3-'Mass Ion Calculations'!$C$23-'Mass Ion Calculations'!$C19-'Mass Ion Calculations'!$D$5,'Mass Ion Calculations'!$F$18+'AA Exact Masses'!$Q$3-'Mass Ion Calculations'!$E$23-'Mass Ion Calculations'!$E19-'Mass Ion Calculations'!$D$5),IF('Mass Ion Calculations'!$D$7="Yes", 'Mass Ion Calculations'!$D$15+'AA Exact Masses'!$Q$3-'Mass Ion Calculations'!$C$23-'Mass Ion Calculations'!$C19-'Mass Ion Calculations'!$D$5,'Mass Ion Calculations'!$F$15+'AA Exact Masses'!$Q$3-'Mass Ion Calculations'!$E$23-'Mass Ion Calculations'!$E19-'Mass Ion Calculations'!$D$5)))</f>
        <v>#VALUE!</v>
      </c>
      <c r="V18" s="3" t="str">
        <f>IF(OR($B18="",V$3=""),"",IF('Mass Ion Calculations'!$D$6="Yes",IF('Mass Ion Calculations'!$D$7="Yes",'Mass Ion Calculations'!$D$18+'AA Exact Masses'!$Q$3-'Mass Ion Calculations'!$C$24-'Mass Ion Calculations'!$C19-'Mass Ion Calculations'!$D$5,'Mass Ion Calculations'!$F$18+'AA Exact Masses'!$Q$3-'Mass Ion Calculations'!$E$24-'Mass Ion Calculations'!$E19-'Mass Ion Calculations'!$D$5),IF('Mass Ion Calculations'!$D$7="Yes", 'Mass Ion Calculations'!$D$15+'AA Exact Masses'!$Q$3-'Mass Ion Calculations'!$C$24-'Mass Ion Calculations'!$C19-'Mass Ion Calculations'!$D$5,'Mass Ion Calculations'!$F$15+'AA Exact Masses'!$Q$3-'Mass Ion Calculations'!$E$24-'Mass Ion Calculations'!$E19-'Mass Ion Calculations'!$D$5)))</f>
        <v/>
      </c>
      <c r="W18" s="3" t="str">
        <f>IF(OR($B18="",W$3=""),"",IF('Mass Ion Calculations'!$D$6="Yes",IF('Mass Ion Calculations'!$D$7="Yes",'Mass Ion Calculations'!$D$18+'AA Exact Masses'!$Q$3-'Mass Ion Calculations'!$C$25-'Mass Ion Calculations'!$C19-'Mass Ion Calculations'!$D$5,'Mass Ion Calculations'!$F$18+'AA Exact Masses'!$Q$3-'Mass Ion Calculations'!$E$25-'Mass Ion Calculations'!$E19-'Mass Ion Calculations'!$D$5),IF('Mass Ion Calculations'!$D$7="Yes", 'Mass Ion Calculations'!$D$15+'AA Exact Masses'!$Q$3-'Mass Ion Calculations'!$C$25-'Mass Ion Calculations'!$C19-'Mass Ion Calculations'!$D$5,'Mass Ion Calculations'!$F$15+'AA Exact Masses'!$Q$3-'Mass Ion Calculations'!$E$25-'Mass Ion Calculations'!$E19-'Mass Ion Calculations'!$D$5)))</f>
        <v/>
      </c>
      <c r="X18" s="3" t="str">
        <f>IF(OR($B18="",X$3=""),"",IF('Mass Ion Calculations'!$D$6="Yes",IF('Mass Ion Calculations'!$D$7="Yes",'Mass Ion Calculations'!$D$18+'AA Exact Masses'!$Q$3-'Mass Ion Calculations'!$C$26-'Mass Ion Calculations'!$C19-'Mass Ion Calculations'!$D$5,'Mass Ion Calculations'!$F$18+'AA Exact Masses'!$Q$3-'Mass Ion Calculations'!$E$26-'Mass Ion Calculations'!$E19-'Mass Ion Calculations'!$D$5),IF('Mass Ion Calculations'!$D$7="Yes", 'Mass Ion Calculations'!$D$15+'AA Exact Masses'!$Q$3-'Mass Ion Calculations'!$C$26-'Mass Ion Calculations'!$C19-'Mass Ion Calculations'!$D$5,'Mass Ion Calculations'!$F$15+'AA Exact Masses'!$Q$3-'Mass Ion Calculations'!$E$26-'Mass Ion Calculations'!$E19-'Mass Ion Calculations'!$D$5)))</f>
        <v/>
      </c>
      <c r="Y18" s="3" t="str">
        <f>IF(OR($B18="",Y$3=""),"",IF('Mass Ion Calculations'!$D$6="Yes",IF('Mass Ion Calculations'!$D$7="Yes",'Mass Ion Calculations'!$D$18+'AA Exact Masses'!$Q$3-'Mass Ion Calculations'!$C$27-'Mass Ion Calculations'!$C19-'Mass Ion Calculations'!$D$5,'Mass Ion Calculations'!$F$18+'AA Exact Masses'!$Q$3-'Mass Ion Calculations'!$E$27-'Mass Ion Calculations'!$E19-'Mass Ion Calculations'!$D$5),IF('Mass Ion Calculations'!$D$7="Yes", 'Mass Ion Calculations'!$D$15+'AA Exact Masses'!$Q$3-'Mass Ion Calculations'!$C$27-'Mass Ion Calculations'!$C19-'Mass Ion Calculations'!$D$5,'Mass Ion Calculations'!$F$15+'AA Exact Masses'!$Q$3-'Mass Ion Calculations'!$E$27-'Mass Ion Calculations'!$E19-'Mass Ion Calculations'!$D$5)))</f>
        <v/>
      </c>
      <c r="Z18" s="3" t="str">
        <f>IF(OR($B18="",Z$3=""),"",IF('Mass Ion Calculations'!$D$6="Yes",IF('Mass Ion Calculations'!$D$7="Yes",'Mass Ion Calculations'!$D$18+'AA Exact Masses'!$Q$3-'Mass Ion Calculations'!$C$28-'Mass Ion Calculations'!$C19-'Mass Ion Calculations'!$D$5,'Mass Ion Calculations'!$F$18+'AA Exact Masses'!$Q$3-'Mass Ion Calculations'!$E$28-'Mass Ion Calculations'!$E19-'Mass Ion Calculations'!$D$5),IF('Mass Ion Calculations'!$D$7="Yes", 'Mass Ion Calculations'!$D$15+'AA Exact Masses'!$Q$3-'Mass Ion Calculations'!$C$28-'Mass Ion Calculations'!$C19-'Mass Ion Calculations'!$D$5,'Mass Ion Calculations'!$F$15+'AA Exact Masses'!$Q$3-'Mass Ion Calculations'!$E$28-'Mass Ion Calculations'!$E19-'Mass Ion Calculations'!$D$5)))</f>
        <v/>
      </c>
    </row>
    <row r="19" spans="2:26" x14ac:dyDescent="0.25">
      <c r="B19" s="4" t="str">
        <f>IF('Mass Ion Calculations'!B20="","",'Mass Ion Calculations'!B20)</f>
        <v>Leu</v>
      </c>
      <c r="C19" s="3">
        <f>IF(OR($B19="",C$3=""),"",IF('Mass Ion Calculations'!$D$6="Yes",IF('Mass Ion Calculations'!$D$7="Yes",'Mass Ion Calculations'!$D$18+'AA Exact Masses'!$Q$3-'Mass Ion Calculations'!$C$5-'Mass Ion Calculations'!$C20-'Mass Ion Calculations'!$D$5,'Mass Ion Calculations'!$F$18+'AA Exact Masses'!$Q$3-'Mass Ion Calculations'!$E$5-'Mass Ion Calculations'!$E20-'Mass Ion Calculations'!$D$5),IF('Mass Ion Calculations'!$D$7="Yes", 'Mass Ion Calculations'!$D$15+'AA Exact Masses'!$Q$3-'Mass Ion Calculations'!$C$5-'Mass Ion Calculations'!$C20-'Mass Ion Calculations'!$D$5,'Mass Ion Calculations'!$F$15+'AA Exact Masses'!$Q$3-'Mass Ion Calculations'!$E$5-'Mass Ion Calculations'!$E20-'Mass Ion Calculations'!$D$5)))</f>
        <v>418.75177000000008</v>
      </c>
      <c r="D19" s="3">
        <f>IF(OR($B19="",D$3=""),"",IF('Mass Ion Calculations'!$D$6="Yes",IF('Mass Ion Calculations'!$D$7="Yes",'Mass Ion Calculations'!$D$18+'AA Exact Masses'!$Q$3-'Mass Ion Calculations'!$C$6-'Mass Ion Calculations'!$C20-'Mass Ion Calculations'!$D$5,'Mass Ion Calculations'!$F$18+'AA Exact Masses'!$Q$3-'Mass Ion Calculations'!$E$6-'Mass Ion Calculations'!$E20-'Mass Ion Calculations'!$D$5),IF('Mass Ion Calculations'!$D$7="Yes", 'Mass Ion Calculations'!$D$15+'AA Exact Masses'!$Q$3-'Mass Ion Calculations'!$C$6-'Mass Ion Calculations'!$C20-'Mass Ion Calculations'!$D$5,'Mass Ion Calculations'!$F$15+'AA Exact Masses'!$Q$3-'Mass Ion Calculations'!$E$6-'Mass Ion Calculations'!$E20-'Mass Ion Calculations'!$D$5)))</f>
        <v>461.79398000000015</v>
      </c>
      <c r="E19" s="3">
        <f>IF(OR($B19="",E$3=""),"",IF('Mass Ion Calculations'!$D$6="Yes",IF('Mass Ion Calculations'!$D$7="Yes",'Mass Ion Calculations'!$D$18+'AA Exact Masses'!$Q$3-'Mass Ion Calculations'!$C$7-'Mass Ion Calculations'!$C20-'Mass Ion Calculations'!$D$5,'Mass Ion Calculations'!$F$18+'AA Exact Masses'!$Q$3-'Mass Ion Calculations'!$E$7-'Mass Ion Calculations'!$E20-'Mass Ion Calculations'!$D$5),IF('Mass Ion Calculations'!$D$7="Yes", 'Mass Ion Calculations'!$D$15+'AA Exact Masses'!$Q$3-'Mass Ion Calculations'!$C$7-'Mass Ion Calculations'!$C20-'Mass Ion Calculations'!$D$5,'Mass Ion Calculations'!$F$15+'AA Exact Masses'!$Q$3-'Mass Ion Calculations'!$E$7-'Mass Ion Calculations'!$E20-'Mass Ion Calculations'!$D$5)))</f>
        <v>419.74703000000022</v>
      </c>
      <c r="F19" s="3">
        <f>IF(OR($B19="",F$3=""),"",IF('Mass Ion Calculations'!$D$6="Yes",IF('Mass Ion Calculations'!$D$7="Yes",'Mass Ion Calculations'!$D$18+'AA Exact Masses'!$Q$3-'Mass Ion Calculations'!$C$8-'Mass Ion Calculations'!$C20-'Mass Ion Calculations'!$D$5,'Mass Ion Calculations'!$F$18+'AA Exact Masses'!$Q$3-'Mass Ion Calculations'!$E$8-'Mass Ion Calculations'!$E20-'Mass Ion Calculations'!$D$5),IF('Mass Ion Calculations'!$D$7="Yes", 'Mass Ion Calculations'!$D$15+'AA Exact Masses'!$Q$3-'Mass Ion Calculations'!$C$8-'Mass Ion Calculations'!$C20-'Mass Ion Calculations'!$D$5,'Mass Ion Calculations'!$F$15+'AA Exact Masses'!$Q$3-'Mass Ion Calculations'!$E$8-'Mass Ion Calculations'!$E20-'Mass Ion Calculations'!$D$5)))</f>
        <v>419.74703000000022</v>
      </c>
      <c r="G19" s="3">
        <f>IF(OR($B19="",G$3=""),"",IF('Mass Ion Calculations'!$D$6="Yes",IF('Mass Ion Calculations'!$D$7="Yes",'Mass Ion Calculations'!$D$18+'AA Exact Masses'!$Q$3-'Mass Ion Calculations'!$C$9-'Mass Ion Calculations'!$C20-'Mass Ion Calculations'!$D$5,'Mass Ion Calculations'!$F$18+'AA Exact Masses'!$Q$3-'Mass Ion Calculations'!$E$9-'Mass Ion Calculations'!$E20-'Mass Ion Calculations'!$D$5),IF('Mass Ion Calculations'!$D$7="Yes", 'Mass Ion Calculations'!$D$15+'AA Exact Masses'!$Q$3-'Mass Ion Calculations'!$C$9-'Mass Ion Calculations'!$C20-'Mass Ion Calculations'!$D$5,'Mass Ion Calculations'!$F$15+'AA Exact Masses'!$Q$3-'Mass Ion Calculations'!$E$9-'Mass Ion Calculations'!$E20-'Mass Ion Calculations'!$D$5)))</f>
        <v>461.79398000000015</v>
      </c>
      <c r="H19" s="3">
        <f>IF(OR($B19="",H$3=""),"",IF('Mass Ion Calculations'!$D$6="Yes",IF('Mass Ion Calculations'!$D$7="Yes",'Mass Ion Calculations'!$D$18+'AA Exact Masses'!$Q$3-'Mass Ion Calculations'!$C$10-'Mass Ion Calculations'!$C20-'Mass Ion Calculations'!$D$5,'Mass Ion Calculations'!$F$18+'AA Exact Masses'!$Q$3-'Mass Ion Calculations'!$E$10-'Mass Ion Calculations'!$E20-'Mass Ion Calculations'!$D$5),IF('Mass Ion Calculations'!$D$7="Yes", 'Mass Ion Calculations'!$D$15+'AA Exact Masses'!$Q$3-'Mass Ion Calculations'!$C$10-'Mass Ion Calculations'!$C20-'Mass Ion Calculations'!$D$5,'Mass Ion Calculations'!$F$15+'AA Exact Masses'!$Q$3-'Mass Ion Calculations'!$E$10-'Mass Ion Calculations'!$E20-'Mass Ion Calculations'!$D$5)))</f>
        <v>419.74703000000022</v>
      </c>
      <c r="I19" s="3">
        <f>IF(OR($B19="",I$3=""),"",IF('Mass Ion Calculations'!$D$6="Yes",IF('Mass Ion Calculations'!$D$7="Yes",'Mass Ion Calculations'!$D$18+'AA Exact Masses'!$Q$3-'Mass Ion Calculations'!$C$11-'Mass Ion Calculations'!$C20-'Mass Ion Calculations'!$D$5,'Mass Ion Calculations'!$F$18+'AA Exact Masses'!$Q$3-'Mass Ion Calculations'!$E$11-'Mass Ion Calculations'!$E20-'Mass Ion Calculations'!$D$5),IF('Mass Ion Calculations'!$D$7="Yes", 'Mass Ion Calculations'!$D$15+'AA Exact Masses'!$Q$3-'Mass Ion Calculations'!$C$11-'Mass Ion Calculations'!$C20-'Mass Ion Calculations'!$D$5,'Mass Ion Calculations'!$F$15+'AA Exact Masses'!$Q$3-'Mass Ion Calculations'!$E$11-'Mass Ion Calculations'!$E20-'Mass Ion Calculations'!$D$5)))</f>
        <v>418.75177000000008</v>
      </c>
      <c r="J19" s="3">
        <f>IF(OR($B19="",J$3=""),"",IF('Mass Ion Calculations'!$D$6="Yes",IF('Mass Ion Calculations'!$D$7="Yes",'Mass Ion Calculations'!$D$18+'AA Exact Masses'!$Q$3-'Mass Ion Calculations'!$C$12-'Mass Ion Calculations'!$C20-'Mass Ion Calculations'!$D$5,'Mass Ion Calculations'!$F$18+'AA Exact Masses'!$Q$3-'Mass Ion Calculations'!$E$12-'Mass Ion Calculations'!$E20-'Mass Ion Calculations'!$D$5),IF('Mass Ion Calculations'!$D$7="Yes", 'Mass Ion Calculations'!$D$15+'AA Exact Masses'!$Q$3-'Mass Ion Calculations'!$C$12-'Mass Ion Calculations'!$C20-'Mass Ion Calculations'!$D$5,'Mass Ion Calculations'!$F$15+'AA Exact Masses'!$Q$3-'Mass Ion Calculations'!$E$12-'Mass Ion Calculations'!$E20-'Mass Ion Calculations'!$D$5)))</f>
        <v>433.76268000000005</v>
      </c>
      <c r="K19" s="3">
        <f>IF(OR($B19="",K$3=""),"",IF('Mass Ion Calculations'!$D$6="Yes",IF('Mass Ion Calculations'!$D$7="Yes",'Mass Ion Calculations'!$D$18+'AA Exact Masses'!$Q$3-'Mass Ion Calculations'!$C$13-'Mass Ion Calculations'!$C20-'Mass Ion Calculations'!$D$5,'Mass Ion Calculations'!$F$18+'AA Exact Masses'!$Q$3-'Mass Ion Calculations'!$E$14-'Mass Ion Calculations'!$E20-'Mass Ion Calculations'!$D$5),IF('Mass Ion Calculations'!$D$7="Yes", 'Mass Ion Calculations'!$D$15+'AA Exact Masses'!$Q$3-'Mass Ion Calculations'!$C$13-'Mass Ion Calculations'!$C20-'Mass Ion Calculations'!$D$5,'Mass Ion Calculations'!$F$15+'AA Exact Masses'!$Q$3-'Mass Ion Calculations'!$E$14-'Mass Ion Calculations'!$E20-'Mass Ion Calculations'!$D$5)))</f>
        <v>403.78850000000011</v>
      </c>
      <c r="L19" s="3">
        <f>IF(OR($B19="",L$3=""),"",IF('Mass Ion Calculations'!$D$6="Yes",IF('Mass Ion Calculations'!$D$7="Yes",'Mass Ion Calculations'!$D$18+'AA Exact Masses'!$Q$3-'Mass Ion Calculations'!$C$14-'Mass Ion Calculations'!$C20-'Mass Ion Calculations'!$D$5,'Mass Ion Calculations'!$F$18+'AA Exact Masses'!$Q$3-'Mass Ion Calculations'!$E$15-'Mass Ion Calculations'!$E20-'Mass Ion Calculations'!$D$5),IF('Mass Ion Calculations'!$D$7="Yes", 'Mass Ion Calculations'!$D$15+'AA Exact Masses'!$Q$3-'Mass Ion Calculations'!$C$14-'Mass Ion Calculations'!$C20-'Mass Ion Calculations'!$D$5,'Mass Ion Calculations'!$F$15+'AA Exact Masses'!$Q$3-'Mass Ion Calculations'!$E$15-'Mass Ion Calculations'!$E20-'Mass Ion Calculations'!$D$5)))</f>
        <v>417.80415000000016</v>
      </c>
      <c r="M19" s="3">
        <f>IF(OR($B19="",M$3=""),"",IF('Mass Ion Calculations'!$D$6="Yes",IF('Mass Ion Calculations'!$D$7="Yes",'Mass Ion Calculations'!$D$18+'AA Exact Masses'!$Q$3-'Mass Ion Calculations'!$C$15-'Mass Ion Calculations'!$C20-'Mass Ion Calculations'!$D$5,'Mass Ion Calculations'!$F$18+'AA Exact Masses'!$Q$3-'Mass Ion Calculations'!$E$16-'Mass Ion Calculations'!$E20-'Mass Ion Calculations'!$D$5),IF('Mass Ion Calculations'!$D$7="Yes", 'Mass Ion Calculations'!$D$15+'AA Exact Masses'!$Q$3-'Mass Ion Calculations'!$C$15-'Mass Ion Calculations'!$C20-'Mass Ion Calculations'!$D$5,'Mass Ion Calculations'!$F$15+'AA Exact Masses'!$Q$3-'Mass Ion Calculations'!$E$16-'Mass Ion Calculations'!$E20-'Mass Ion Calculations'!$D$5)))</f>
        <v>461.79398000000015</v>
      </c>
      <c r="N19" s="3">
        <f>IF(OR($B19="",N$3=""),"",IF('Mass Ion Calculations'!$D$6="Yes",IF('Mass Ion Calculations'!$D$7="Yes",'Mass Ion Calculations'!$D$18+'AA Exact Masses'!$Q$3-'Mass Ion Calculations'!$C$16-'Mass Ion Calculations'!$C20-'Mass Ion Calculations'!$D$5,'Mass Ion Calculations'!$F$18+'AA Exact Masses'!$Q$3-'Mass Ion Calculations'!$E$17-'Mass Ion Calculations'!$E20-'Mass Ion Calculations'!$D$5),IF('Mass Ion Calculations'!$D$7="Yes", 'Mass Ion Calculations'!$D$15+'AA Exact Masses'!$Q$3-'Mass Ion Calculations'!$C$16-'Mass Ion Calculations'!$C20-'Mass Ion Calculations'!$D$5,'Mass Ion Calculations'!$F$15+'AA Exact Masses'!$Q$3-'Mass Ion Calculations'!$E$17-'Mass Ion Calculations'!$E20-'Mass Ion Calculations'!$D$5)))</f>
        <v>385.76268000000005</v>
      </c>
      <c r="O19" s="3">
        <f>IF(OR($B19="",O$3=""),"",IF('Mass Ion Calculations'!$D$6="Yes",IF('Mass Ion Calculations'!$D$7="Yes",'Mass Ion Calculations'!$D$18+'AA Exact Masses'!$Q$3-'Mass Ion Calculations'!$C$17-'Mass Ion Calculations'!$C20-'Mass Ion Calculations'!$D$5,'Mass Ion Calculations'!$F$18+'AA Exact Masses'!$Q$3-'Mass Ion Calculations'!$E$18-'Mass Ion Calculations'!$E20-'Mass Ion Calculations'!$D$5),IF('Mass Ion Calculations'!$D$7="Yes", 'Mass Ion Calculations'!$D$15+'AA Exact Masses'!$Q$3-'Mass Ion Calculations'!$C$17-'Mass Ion Calculations'!$C20-'Mass Ion Calculations'!$D$5,'Mass Ion Calculations'!$F$15+'AA Exact Masses'!$Q$3-'Mass Ion Calculations'!$E$18-'Mass Ion Calculations'!$E20-'Mass Ion Calculations'!$D$5)))</f>
        <v>259.86603000000014</v>
      </c>
      <c r="P19" s="3">
        <f>IF(OR($B19="",P$3=""),"",IF('Mass Ion Calculations'!$D$6="Yes",IF('Mass Ion Calculations'!$D$7="Yes",'Mass Ion Calculations'!$D$18+'AA Exact Masses'!$Q$3-'Mass Ion Calculations'!$C$19-'Mass Ion Calculations'!$C20-'Mass Ion Calculations'!$D$5,'Mass Ion Calculations'!$F$18+'AA Exact Masses'!$Q$3-'Mass Ion Calculations'!$E$19-'Mass Ion Calculations'!$E20-'Mass Ion Calculations'!$D$5),IF('Mass Ion Calculations'!$D$7="Yes", 'Mass Ion Calculations'!$D$15+'AA Exact Masses'!$Q$3-'Mass Ion Calculations'!$C$19-'Mass Ion Calculations'!$C20-'Mass Ion Calculations'!$D$5,'Mass Ion Calculations'!$F$15+'AA Exact Masses'!$Q$3-'Mass Ion Calculations'!$E$19-'Mass Ion Calculations'!$E20-'Mass Ion Calculations'!$D$5)))</f>
        <v>433.76268000000005</v>
      </c>
      <c r="Q19" s="3">
        <f>IF(OR($B19="",Q$3=""),"",IF('Mass Ion Calculations'!$D$6="Yes",IF('Mass Ion Calculations'!$D$7="Yes",'Mass Ion Calculations'!$D$18+'AA Exact Masses'!$Q$3-'Mass Ion Calculations'!$C$20-'Mass Ion Calculations'!$C20-'Mass Ion Calculations'!$D$5,'Mass Ion Calculations'!$F$18+'AA Exact Masses'!$Q$3-'Mass Ion Calculations'!$E$20-'Mass Ion Calculations'!$E20-'Mass Ion Calculations'!$D$5),IF('Mass Ion Calculations'!$D$7="Yes", 'Mass Ion Calculations'!$D$15+'AA Exact Masses'!$Q$3-'Mass Ion Calculations'!$C$20-'Mass Ion Calculations'!$C20-'Mass Ion Calculations'!$D$5,'Mass Ion Calculations'!$F$15+'AA Exact Masses'!$Q$3-'Mass Ion Calculations'!$E$20-'Mass Ion Calculations'!$E20-'Mass Ion Calculations'!$D$5)))</f>
        <v>419.74703000000022</v>
      </c>
      <c r="R19" s="3" t="e">
        <f>IF(OR($B19="",R$3=""),"",IF('Mass Ion Calculations'!$D$6="Yes",IF('Mass Ion Calculations'!$D$7="Yes",'Mass Ion Calculations'!$D$18+'AA Exact Masses'!$Q$3-'Mass Ion Calculations'!$C$21-'Mass Ion Calculations'!$C20-'Mass Ion Calculations'!$D$5,'Mass Ion Calculations'!$F$18+'AA Exact Masses'!$Q$3-'Mass Ion Calculations'!$E$21-'Mass Ion Calculations'!$E20-'Mass Ion Calculations'!$D$5),IF('Mass Ion Calculations'!$D$7="Yes", 'Mass Ion Calculations'!$D$15+'AA Exact Masses'!$Q$3-'Mass Ion Calculations'!$C$21-'Mass Ion Calculations'!$C20-'Mass Ion Calculations'!$D$5,'Mass Ion Calculations'!$F$15+'AA Exact Masses'!$Q$3-'Mass Ion Calculations'!$E$21-'Mass Ion Calculations'!$E20-'Mass Ion Calculations'!$D$5)))</f>
        <v>#VALUE!</v>
      </c>
      <c r="S19" s="3" t="str">
        <f>IF(OR($B19="",S$3=""),"",IF('Mass Ion Calculations'!$D$6="Yes",IF('Mass Ion Calculations'!$D$7="Yes",'Mass Ion Calculations'!$D$18+'AA Exact Masses'!$Q$3-'Mass Ion Calculations'!$C$21-'Mass Ion Calculations'!$C20-'Mass Ion Calculations'!$D$5,'Mass Ion Calculations'!$F$18+'AA Exact Masses'!$Q$3-'Mass Ion Calculations'!$E$21-'Mass Ion Calculations'!$E20-'Mass Ion Calculations'!$D$5),IF('Mass Ion Calculations'!$D$7="Yes", 'Mass Ion Calculations'!$D$15+'AA Exact Masses'!$Q$3-'Mass Ion Calculations'!$C$21-'Mass Ion Calculations'!$C20-'Mass Ion Calculations'!$D$5,'Mass Ion Calculations'!$F$15+'AA Exact Masses'!$Q$3-'Mass Ion Calculations'!$E$21-'Mass Ion Calculations'!$E20-'Mass Ion Calculations'!$D$5)))</f>
        <v/>
      </c>
      <c r="T19" s="3" t="e">
        <f>IF(OR($B19="",T$3=""),"",IF('Mass Ion Calculations'!$D$6="Yes",IF('Mass Ion Calculations'!$D$7="Yes",'Mass Ion Calculations'!$D$18+'AA Exact Masses'!$Q$3-'Mass Ion Calculations'!$C$22-'Mass Ion Calculations'!$C20-'Mass Ion Calculations'!$D$5,'Mass Ion Calculations'!$F$18+'AA Exact Masses'!$Q$3-'Mass Ion Calculations'!$E$22-'Mass Ion Calculations'!$E20-'Mass Ion Calculations'!$D$5),IF('Mass Ion Calculations'!$D$7="Yes", 'Mass Ion Calculations'!$D$15+'AA Exact Masses'!$Q$3-'Mass Ion Calculations'!$C$22-'Mass Ion Calculations'!$C20-'Mass Ion Calculations'!$D$5,'Mass Ion Calculations'!$F$15+'AA Exact Masses'!$Q$3-'Mass Ion Calculations'!$E$22-'Mass Ion Calculations'!$E20-'Mass Ion Calculations'!$D$5)))</f>
        <v>#VALUE!</v>
      </c>
      <c r="U19" s="3" t="e">
        <f>IF(OR($B19="",U$3=""),"",IF('Mass Ion Calculations'!$D$6="Yes",IF('Mass Ion Calculations'!$D$7="Yes",'Mass Ion Calculations'!$D$18+'AA Exact Masses'!$Q$3-'Mass Ion Calculations'!$C$23-'Mass Ion Calculations'!$C20-'Mass Ion Calculations'!$D$5,'Mass Ion Calculations'!$F$18+'AA Exact Masses'!$Q$3-'Mass Ion Calculations'!$E$23-'Mass Ion Calculations'!$E20-'Mass Ion Calculations'!$D$5),IF('Mass Ion Calculations'!$D$7="Yes", 'Mass Ion Calculations'!$D$15+'AA Exact Masses'!$Q$3-'Mass Ion Calculations'!$C$23-'Mass Ion Calculations'!$C20-'Mass Ion Calculations'!$D$5,'Mass Ion Calculations'!$F$15+'AA Exact Masses'!$Q$3-'Mass Ion Calculations'!$E$23-'Mass Ion Calculations'!$E20-'Mass Ion Calculations'!$D$5)))</f>
        <v>#VALUE!</v>
      </c>
      <c r="V19" s="3" t="str">
        <f>IF(OR($B19="",V$3=""),"",IF('Mass Ion Calculations'!$D$6="Yes",IF('Mass Ion Calculations'!$D$7="Yes",'Mass Ion Calculations'!$D$18+'AA Exact Masses'!$Q$3-'Mass Ion Calculations'!$C$24-'Mass Ion Calculations'!$C20-'Mass Ion Calculations'!$D$5,'Mass Ion Calculations'!$F$18+'AA Exact Masses'!$Q$3-'Mass Ion Calculations'!$E$24-'Mass Ion Calculations'!$E20-'Mass Ion Calculations'!$D$5),IF('Mass Ion Calculations'!$D$7="Yes", 'Mass Ion Calculations'!$D$15+'AA Exact Masses'!$Q$3-'Mass Ion Calculations'!$C$24-'Mass Ion Calculations'!$C20-'Mass Ion Calculations'!$D$5,'Mass Ion Calculations'!$F$15+'AA Exact Masses'!$Q$3-'Mass Ion Calculations'!$E$24-'Mass Ion Calculations'!$E20-'Mass Ion Calculations'!$D$5)))</f>
        <v/>
      </c>
      <c r="W19" s="3" t="str">
        <f>IF(OR($B19="",W$3=""),"",IF('Mass Ion Calculations'!$D$6="Yes",IF('Mass Ion Calculations'!$D$7="Yes",'Mass Ion Calculations'!$D$18+'AA Exact Masses'!$Q$3-'Mass Ion Calculations'!$C$25-'Mass Ion Calculations'!$C20-'Mass Ion Calculations'!$D$5,'Mass Ion Calculations'!$F$18+'AA Exact Masses'!$Q$3-'Mass Ion Calculations'!$E$25-'Mass Ion Calculations'!$E20-'Mass Ion Calculations'!$D$5),IF('Mass Ion Calculations'!$D$7="Yes", 'Mass Ion Calculations'!$D$15+'AA Exact Masses'!$Q$3-'Mass Ion Calculations'!$C$25-'Mass Ion Calculations'!$C20-'Mass Ion Calculations'!$D$5,'Mass Ion Calculations'!$F$15+'AA Exact Masses'!$Q$3-'Mass Ion Calculations'!$E$25-'Mass Ion Calculations'!$E20-'Mass Ion Calculations'!$D$5)))</f>
        <v/>
      </c>
      <c r="X19" s="3" t="str">
        <f>IF(OR($B19="",X$3=""),"",IF('Mass Ion Calculations'!$D$6="Yes",IF('Mass Ion Calculations'!$D$7="Yes",'Mass Ion Calculations'!$D$18+'AA Exact Masses'!$Q$3-'Mass Ion Calculations'!$C$26-'Mass Ion Calculations'!$C20-'Mass Ion Calculations'!$D$5,'Mass Ion Calculations'!$F$18+'AA Exact Masses'!$Q$3-'Mass Ion Calculations'!$E$26-'Mass Ion Calculations'!$E20-'Mass Ion Calculations'!$D$5),IF('Mass Ion Calculations'!$D$7="Yes", 'Mass Ion Calculations'!$D$15+'AA Exact Masses'!$Q$3-'Mass Ion Calculations'!$C$26-'Mass Ion Calculations'!$C20-'Mass Ion Calculations'!$D$5,'Mass Ion Calculations'!$F$15+'AA Exact Masses'!$Q$3-'Mass Ion Calculations'!$E$26-'Mass Ion Calculations'!$E20-'Mass Ion Calculations'!$D$5)))</f>
        <v/>
      </c>
      <c r="Y19" s="3" t="str">
        <f>IF(OR($B19="",Y$3=""),"",IF('Mass Ion Calculations'!$D$6="Yes",IF('Mass Ion Calculations'!$D$7="Yes",'Mass Ion Calculations'!$D$18+'AA Exact Masses'!$Q$3-'Mass Ion Calculations'!$C$27-'Mass Ion Calculations'!$C20-'Mass Ion Calculations'!$D$5,'Mass Ion Calculations'!$F$18+'AA Exact Masses'!$Q$3-'Mass Ion Calculations'!$E$27-'Mass Ion Calculations'!$E20-'Mass Ion Calculations'!$D$5),IF('Mass Ion Calculations'!$D$7="Yes", 'Mass Ion Calculations'!$D$15+'AA Exact Masses'!$Q$3-'Mass Ion Calculations'!$C$27-'Mass Ion Calculations'!$C20-'Mass Ion Calculations'!$D$5,'Mass Ion Calculations'!$F$15+'AA Exact Masses'!$Q$3-'Mass Ion Calculations'!$E$27-'Mass Ion Calculations'!$E20-'Mass Ion Calculations'!$D$5)))</f>
        <v/>
      </c>
      <c r="Z19" s="3" t="str">
        <f>IF(OR($B19="",Z$3=""),"",IF('Mass Ion Calculations'!$D$6="Yes",IF('Mass Ion Calculations'!$D$7="Yes",'Mass Ion Calculations'!$D$18+'AA Exact Masses'!$Q$3-'Mass Ion Calculations'!$C$28-'Mass Ion Calculations'!$C20-'Mass Ion Calculations'!$D$5,'Mass Ion Calculations'!$F$18+'AA Exact Masses'!$Q$3-'Mass Ion Calculations'!$E$28-'Mass Ion Calculations'!$E20-'Mass Ion Calculations'!$D$5),IF('Mass Ion Calculations'!$D$7="Yes", 'Mass Ion Calculations'!$D$15+'AA Exact Masses'!$Q$3-'Mass Ion Calculations'!$C$28-'Mass Ion Calculations'!$C20-'Mass Ion Calculations'!$D$5,'Mass Ion Calculations'!$F$15+'AA Exact Masses'!$Q$3-'Mass Ion Calculations'!$E$28-'Mass Ion Calculations'!$E20-'Mass Ion Calculations'!$D$5)))</f>
        <v/>
      </c>
    </row>
    <row r="20" spans="2:26" x14ac:dyDescent="0.25">
      <c r="B20" s="4" t="str">
        <f>IF('Mass Ion Calculations'!B21="","",'Mass Ion Calculations'!B21)</f>
        <v/>
      </c>
      <c r="C20" s="3" t="str">
        <f>IF(OR($B20="",C$3=""),"",IF('Mass Ion Calculations'!$D$6="Yes",IF('Mass Ion Calculations'!$D$7="Yes",'Mass Ion Calculations'!$D$18+'AA Exact Masses'!$Q$3-'Mass Ion Calculations'!$C$5-'Mass Ion Calculations'!$C21-'Mass Ion Calculations'!$D$5,'Mass Ion Calculations'!$F$18+'AA Exact Masses'!$Q$3-'Mass Ion Calculations'!$E$5-'Mass Ion Calculations'!$E21-'Mass Ion Calculations'!$D$5),IF('Mass Ion Calculations'!$D$7="Yes", 'Mass Ion Calculations'!$D$15+'AA Exact Masses'!$Q$3-'Mass Ion Calculations'!$C$5-'Mass Ion Calculations'!$C21-'Mass Ion Calculations'!$D$5,'Mass Ion Calculations'!$F$15+'AA Exact Masses'!$Q$3-'Mass Ion Calculations'!$E$5-'Mass Ion Calculations'!$E21-'Mass Ion Calculations'!$D$5)))</f>
        <v/>
      </c>
      <c r="D20" s="3" t="str">
        <f>IF(OR($B20="",D$3=""),"",IF('Mass Ion Calculations'!$D$6="Yes",IF('Mass Ion Calculations'!$D$7="Yes",'Mass Ion Calculations'!$D$18+'AA Exact Masses'!$Q$3-'Mass Ion Calculations'!$C$6-'Mass Ion Calculations'!$C21-'Mass Ion Calculations'!$D$5,'Mass Ion Calculations'!$F$18+'AA Exact Masses'!$Q$3-'Mass Ion Calculations'!$E$6-'Mass Ion Calculations'!$E21-'Mass Ion Calculations'!$D$5),IF('Mass Ion Calculations'!$D$7="Yes", 'Mass Ion Calculations'!$D$15+'AA Exact Masses'!$Q$3-'Mass Ion Calculations'!$C$6-'Mass Ion Calculations'!$C21-'Mass Ion Calculations'!$D$5,'Mass Ion Calculations'!$F$15+'AA Exact Masses'!$Q$3-'Mass Ion Calculations'!$E$6-'Mass Ion Calculations'!$E21-'Mass Ion Calculations'!$D$5)))</f>
        <v/>
      </c>
      <c r="E20" s="3" t="str">
        <f>IF(OR($B20="",E$3=""),"",IF('Mass Ion Calculations'!$D$6="Yes",IF('Mass Ion Calculations'!$D$7="Yes",'Mass Ion Calculations'!$D$18+'AA Exact Masses'!$Q$3-'Mass Ion Calculations'!$C$7-'Mass Ion Calculations'!$C21-'Mass Ion Calculations'!$D$5,'Mass Ion Calculations'!$F$18+'AA Exact Masses'!$Q$3-'Mass Ion Calculations'!$E$7-'Mass Ion Calculations'!$E21-'Mass Ion Calculations'!$D$5),IF('Mass Ion Calculations'!$D$7="Yes", 'Mass Ion Calculations'!$D$15+'AA Exact Masses'!$Q$3-'Mass Ion Calculations'!$C$7-'Mass Ion Calculations'!$C21-'Mass Ion Calculations'!$D$5,'Mass Ion Calculations'!$F$15+'AA Exact Masses'!$Q$3-'Mass Ion Calculations'!$E$7-'Mass Ion Calculations'!$E21-'Mass Ion Calculations'!$D$5)))</f>
        <v/>
      </c>
      <c r="F20" s="3" t="str">
        <f>IF(OR($B20="",F$3=""),"",IF('Mass Ion Calculations'!$D$6="Yes",IF('Mass Ion Calculations'!$D$7="Yes",'Mass Ion Calculations'!$D$18+'AA Exact Masses'!$Q$3-'Mass Ion Calculations'!$C$8-'Mass Ion Calculations'!$C21-'Mass Ion Calculations'!$D$5,'Mass Ion Calculations'!$F$18+'AA Exact Masses'!$Q$3-'Mass Ion Calculations'!$E$8-'Mass Ion Calculations'!$E21-'Mass Ion Calculations'!$D$5),IF('Mass Ion Calculations'!$D$7="Yes", 'Mass Ion Calculations'!$D$15+'AA Exact Masses'!$Q$3-'Mass Ion Calculations'!$C$8-'Mass Ion Calculations'!$C21-'Mass Ion Calculations'!$D$5,'Mass Ion Calculations'!$F$15+'AA Exact Masses'!$Q$3-'Mass Ion Calculations'!$E$8-'Mass Ion Calculations'!$E21-'Mass Ion Calculations'!$D$5)))</f>
        <v/>
      </c>
      <c r="G20" s="3" t="str">
        <f>IF(OR($B20="",G$3=""),"",IF('Mass Ion Calculations'!$D$6="Yes",IF('Mass Ion Calculations'!$D$7="Yes",'Mass Ion Calculations'!$D$18+'AA Exact Masses'!$Q$3-'Mass Ion Calculations'!$C$9-'Mass Ion Calculations'!$C21-'Mass Ion Calculations'!$D$5,'Mass Ion Calculations'!$F$18+'AA Exact Masses'!$Q$3-'Mass Ion Calculations'!$E$9-'Mass Ion Calculations'!$E21-'Mass Ion Calculations'!$D$5),IF('Mass Ion Calculations'!$D$7="Yes", 'Mass Ion Calculations'!$D$15+'AA Exact Masses'!$Q$3-'Mass Ion Calculations'!$C$9-'Mass Ion Calculations'!$C21-'Mass Ion Calculations'!$D$5,'Mass Ion Calculations'!$F$15+'AA Exact Masses'!$Q$3-'Mass Ion Calculations'!$E$9-'Mass Ion Calculations'!$E21-'Mass Ion Calculations'!$D$5)))</f>
        <v/>
      </c>
      <c r="H20" s="3" t="str">
        <f>IF(OR($B20="",H$3=""),"",IF('Mass Ion Calculations'!$D$6="Yes",IF('Mass Ion Calculations'!$D$7="Yes",'Mass Ion Calculations'!$D$18+'AA Exact Masses'!$Q$3-'Mass Ion Calculations'!$C$10-'Mass Ion Calculations'!$C21-'Mass Ion Calculations'!$D$5,'Mass Ion Calculations'!$F$18+'AA Exact Masses'!$Q$3-'Mass Ion Calculations'!$E$10-'Mass Ion Calculations'!$E21-'Mass Ion Calculations'!$D$5),IF('Mass Ion Calculations'!$D$7="Yes", 'Mass Ion Calculations'!$D$15+'AA Exact Masses'!$Q$3-'Mass Ion Calculations'!$C$10-'Mass Ion Calculations'!$C21-'Mass Ion Calculations'!$D$5,'Mass Ion Calculations'!$F$15+'AA Exact Masses'!$Q$3-'Mass Ion Calculations'!$E$10-'Mass Ion Calculations'!$E21-'Mass Ion Calculations'!$D$5)))</f>
        <v/>
      </c>
      <c r="I20" s="3" t="str">
        <f>IF(OR($B20="",I$3=""),"",IF('Mass Ion Calculations'!$D$6="Yes",IF('Mass Ion Calculations'!$D$7="Yes",'Mass Ion Calculations'!$D$18+'AA Exact Masses'!$Q$3-'Mass Ion Calculations'!$C$11-'Mass Ion Calculations'!$C21-'Mass Ion Calculations'!$D$5,'Mass Ion Calculations'!$F$18+'AA Exact Masses'!$Q$3-'Mass Ion Calculations'!$E$11-'Mass Ion Calculations'!$E21-'Mass Ion Calculations'!$D$5),IF('Mass Ion Calculations'!$D$7="Yes", 'Mass Ion Calculations'!$D$15+'AA Exact Masses'!$Q$3-'Mass Ion Calculations'!$C$11-'Mass Ion Calculations'!$C21-'Mass Ion Calculations'!$D$5,'Mass Ion Calculations'!$F$15+'AA Exact Masses'!$Q$3-'Mass Ion Calculations'!$E$11-'Mass Ion Calculations'!$E21-'Mass Ion Calculations'!$D$5)))</f>
        <v/>
      </c>
      <c r="J20" s="3" t="str">
        <f>IF(OR($B20="",J$3=""),"",IF('Mass Ion Calculations'!$D$6="Yes",IF('Mass Ion Calculations'!$D$7="Yes",'Mass Ion Calculations'!$D$18+'AA Exact Masses'!$Q$3-'Mass Ion Calculations'!$C$12-'Mass Ion Calculations'!$C21-'Mass Ion Calculations'!$D$5,'Mass Ion Calculations'!$F$18+'AA Exact Masses'!$Q$3-'Mass Ion Calculations'!$E$12-'Mass Ion Calculations'!$E21-'Mass Ion Calculations'!$D$5),IF('Mass Ion Calculations'!$D$7="Yes", 'Mass Ion Calculations'!$D$15+'AA Exact Masses'!$Q$3-'Mass Ion Calculations'!$C$12-'Mass Ion Calculations'!$C21-'Mass Ion Calculations'!$D$5,'Mass Ion Calculations'!$F$15+'AA Exact Masses'!$Q$3-'Mass Ion Calculations'!$E$12-'Mass Ion Calculations'!$E21-'Mass Ion Calculations'!$D$5)))</f>
        <v/>
      </c>
      <c r="K20" s="3" t="str">
        <f>IF(OR($B20="",K$3=""),"",IF('Mass Ion Calculations'!$D$6="Yes",IF('Mass Ion Calculations'!$D$7="Yes",'Mass Ion Calculations'!$D$18+'AA Exact Masses'!$Q$3-'Mass Ion Calculations'!$C$13-'Mass Ion Calculations'!$C21-'Mass Ion Calculations'!$D$5,'Mass Ion Calculations'!$F$18+'AA Exact Masses'!$Q$3-'Mass Ion Calculations'!$E$14-'Mass Ion Calculations'!$E21-'Mass Ion Calculations'!$D$5),IF('Mass Ion Calculations'!$D$7="Yes", 'Mass Ion Calculations'!$D$15+'AA Exact Masses'!$Q$3-'Mass Ion Calculations'!$C$13-'Mass Ion Calculations'!$C21-'Mass Ion Calculations'!$D$5,'Mass Ion Calculations'!$F$15+'AA Exact Masses'!$Q$3-'Mass Ion Calculations'!$E$14-'Mass Ion Calculations'!$E21-'Mass Ion Calculations'!$D$5)))</f>
        <v/>
      </c>
      <c r="L20" s="3" t="str">
        <f>IF(OR($B20="",L$3=""),"",IF('Mass Ion Calculations'!$D$6="Yes",IF('Mass Ion Calculations'!$D$7="Yes",'Mass Ion Calculations'!$D$18+'AA Exact Masses'!$Q$3-'Mass Ion Calculations'!$C$14-'Mass Ion Calculations'!$C21-'Mass Ion Calculations'!$D$5,'Mass Ion Calculations'!$F$18+'AA Exact Masses'!$Q$3-'Mass Ion Calculations'!$E$15-'Mass Ion Calculations'!$E21-'Mass Ion Calculations'!$D$5),IF('Mass Ion Calculations'!$D$7="Yes", 'Mass Ion Calculations'!$D$15+'AA Exact Masses'!$Q$3-'Mass Ion Calculations'!$C$14-'Mass Ion Calculations'!$C21-'Mass Ion Calculations'!$D$5,'Mass Ion Calculations'!$F$15+'AA Exact Masses'!$Q$3-'Mass Ion Calculations'!$E$15-'Mass Ion Calculations'!$E21-'Mass Ion Calculations'!$D$5)))</f>
        <v/>
      </c>
      <c r="M20" s="3" t="str">
        <f>IF(OR($B20="",M$3=""),"",IF('Mass Ion Calculations'!$D$6="Yes",IF('Mass Ion Calculations'!$D$7="Yes",'Mass Ion Calculations'!$D$18+'AA Exact Masses'!$Q$3-'Mass Ion Calculations'!$C$15-'Mass Ion Calculations'!$C21-'Mass Ion Calculations'!$D$5,'Mass Ion Calculations'!$F$18+'AA Exact Masses'!$Q$3-'Mass Ion Calculations'!$E$16-'Mass Ion Calculations'!$E21-'Mass Ion Calculations'!$D$5),IF('Mass Ion Calculations'!$D$7="Yes", 'Mass Ion Calculations'!$D$15+'AA Exact Masses'!$Q$3-'Mass Ion Calculations'!$C$15-'Mass Ion Calculations'!$C21-'Mass Ion Calculations'!$D$5,'Mass Ion Calculations'!$F$15+'AA Exact Masses'!$Q$3-'Mass Ion Calculations'!$E$16-'Mass Ion Calculations'!$E21-'Mass Ion Calculations'!$D$5)))</f>
        <v/>
      </c>
      <c r="N20" s="3" t="str">
        <f>IF(OR($B20="",N$3=""),"",IF('Mass Ion Calculations'!$D$6="Yes",IF('Mass Ion Calculations'!$D$7="Yes",'Mass Ion Calculations'!$D$18+'AA Exact Masses'!$Q$3-'Mass Ion Calculations'!$C$16-'Mass Ion Calculations'!$C21-'Mass Ion Calculations'!$D$5,'Mass Ion Calculations'!$F$18+'AA Exact Masses'!$Q$3-'Mass Ion Calculations'!$E$17-'Mass Ion Calculations'!$E21-'Mass Ion Calculations'!$D$5),IF('Mass Ion Calculations'!$D$7="Yes", 'Mass Ion Calculations'!$D$15+'AA Exact Masses'!$Q$3-'Mass Ion Calculations'!$C$16-'Mass Ion Calculations'!$C21-'Mass Ion Calculations'!$D$5,'Mass Ion Calculations'!$F$15+'AA Exact Masses'!$Q$3-'Mass Ion Calculations'!$E$17-'Mass Ion Calculations'!$E21-'Mass Ion Calculations'!$D$5)))</f>
        <v/>
      </c>
      <c r="O20" s="3" t="str">
        <f>IF(OR($B20="",O$3=""),"",IF('Mass Ion Calculations'!$D$6="Yes",IF('Mass Ion Calculations'!$D$7="Yes",'Mass Ion Calculations'!$D$18+'AA Exact Masses'!$Q$3-'Mass Ion Calculations'!$C$17-'Mass Ion Calculations'!$C21-'Mass Ion Calculations'!$D$5,'Mass Ion Calculations'!$F$18+'AA Exact Masses'!$Q$3-'Mass Ion Calculations'!$E$18-'Mass Ion Calculations'!$E21-'Mass Ion Calculations'!$D$5),IF('Mass Ion Calculations'!$D$7="Yes", 'Mass Ion Calculations'!$D$15+'AA Exact Masses'!$Q$3-'Mass Ion Calculations'!$C$17-'Mass Ion Calculations'!$C21-'Mass Ion Calculations'!$D$5,'Mass Ion Calculations'!$F$15+'AA Exact Masses'!$Q$3-'Mass Ion Calculations'!$E$18-'Mass Ion Calculations'!$E21-'Mass Ion Calculations'!$D$5)))</f>
        <v/>
      </c>
      <c r="P20" s="3" t="str">
        <f>IF(OR($B20="",P$3=""),"",IF('Mass Ion Calculations'!$D$6="Yes",IF('Mass Ion Calculations'!$D$7="Yes",'Mass Ion Calculations'!$D$18+'AA Exact Masses'!$Q$3-'Mass Ion Calculations'!$C$19-'Mass Ion Calculations'!$C21-'Mass Ion Calculations'!$D$5,'Mass Ion Calculations'!$F$18+'AA Exact Masses'!$Q$3-'Mass Ion Calculations'!$E$19-'Mass Ion Calculations'!$E21-'Mass Ion Calculations'!$D$5),IF('Mass Ion Calculations'!$D$7="Yes", 'Mass Ion Calculations'!$D$15+'AA Exact Masses'!$Q$3-'Mass Ion Calculations'!$C$19-'Mass Ion Calculations'!$C21-'Mass Ion Calculations'!$D$5,'Mass Ion Calculations'!$F$15+'AA Exact Masses'!$Q$3-'Mass Ion Calculations'!$E$19-'Mass Ion Calculations'!$E21-'Mass Ion Calculations'!$D$5)))</f>
        <v/>
      </c>
      <c r="Q20" s="3" t="str">
        <f>IF(OR($B20="",Q$3=""),"",IF('Mass Ion Calculations'!$D$6="Yes",IF('Mass Ion Calculations'!$D$7="Yes",'Mass Ion Calculations'!$D$18+'AA Exact Masses'!$Q$3-'Mass Ion Calculations'!$C$20-'Mass Ion Calculations'!$C21-'Mass Ion Calculations'!$D$5,'Mass Ion Calculations'!$F$18+'AA Exact Masses'!$Q$3-'Mass Ion Calculations'!$E$20-'Mass Ion Calculations'!$E21-'Mass Ion Calculations'!$D$5),IF('Mass Ion Calculations'!$D$7="Yes", 'Mass Ion Calculations'!$D$15+'AA Exact Masses'!$Q$3-'Mass Ion Calculations'!$C$20-'Mass Ion Calculations'!$C21-'Mass Ion Calculations'!$D$5,'Mass Ion Calculations'!$F$15+'AA Exact Masses'!$Q$3-'Mass Ion Calculations'!$E$20-'Mass Ion Calculations'!$E21-'Mass Ion Calculations'!$D$5)))</f>
        <v/>
      </c>
      <c r="R20" s="3" t="str">
        <f>IF(OR($B20="",R$3=""),"",IF('Mass Ion Calculations'!$D$6="Yes",IF('Mass Ion Calculations'!$D$7="Yes",'Mass Ion Calculations'!$D$18+'AA Exact Masses'!$Q$3-'Mass Ion Calculations'!$C$21-'Mass Ion Calculations'!$C21-'Mass Ion Calculations'!$D$5,'Mass Ion Calculations'!$F$18+'AA Exact Masses'!$Q$3-'Mass Ion Calculations'!$E$21-'Mass Ion Calculations'!$E21-'Mass Ion Calculations'!$D$5),IF('Mass Ion Calculations'!$D$7="Yes", 'Mass Ion Calculations'!$D$15+'AA Exact Masses'!$Q$3-'Mass Ion Calculations'!$C$21-'Mass Ion Calculations'!$C21-'Mass Ion Calculations'!$D$5,'Mass Ion Calculations'!$F$15+'AA Exact Masses'!$Q$3-'Mass Ion Calculations'!$E$21-'Mass Ion Calculations'!$E21-'Mass Ion Calculations'!$D$5)))</f>
        <v/>
      </c>
      <c r="S20" s="3" t="str">
        <f>IF(OR($B20="",S$3=""),"",IF('Mass Ion Calculations'!$D$6="Yes",IF('Mass Ion Calculations'!$D$7="Yes",'Mass Ion Calculations'!$D$18+'AA Exact Masses'!$Q$3-'Mass Ion Calculations'!$C$21-'Mass Ion Calculations'!$C21-'Mass Ion Calculations'!$D$5,'Mass Ion Calculations'!$F$18+'AA Exact Masses'!$Q$3-'Mass Ion Calculations'!$E$21-'Mass Ion Calculations'!$E21-'Mass Ion Calculations'!$D$5),IF('Mass Ion Calculations'!$D$7="Yes", 'Mass Ion Calculations'!$D$15+'AA Exact Masses'!$Q$3-'Mass Ion Calculations'!$C$21-'Mass Ion Calculations'!$C21-'Mass Ion Calculations'!$D$5,'Mass Ion Calculations'!$F$15+'AA Exact Masses'!$Q$3-'Mass Ion Calculations'!$E$21-'Mass Ion Calculations'!$E21-'Mass Ion Calculations'!$D$5)))</f>
        <v/>
      </c>
      <c r="T20" s="3" t="str">
        <f>IF(OR($B20="",T$3=""),"",IF('Mass Ion Calculations'!$D$6="Yes",IF('Mass Ion Calculations'!$D$7="Yes",'Mass Ion Calculations'!$D$18+'AA Exact Masses'!$Q$3-'Mass Ion Calculations'!$C$22-'Mass Ion Calculations'!$C21-'Mass Ion Calculations'!$D$5,'Mass Ion Calculations'!$F$18+'AA Exact Masses'!$Q$3-'Mass Ion Calculations'!$E$22-'Mass Ion Calculations'!$E21-'Mass Ion Calculations'!$D$5),IF('Mass Ion Calculations'!$D$7="Yes", 'Mass Ion Calculations'!$D$15+'AA Exact Masses'!$Q$3-'Mass Ion Calculations'!$C$22-'Mass Ion Calculations'!$C21-'Mass Ion Calculations'!$D$5,'Mass Ion Calculations'!$F$15+'AA Exact Masses'!$Q$3-'Mass Ion Calculations'!$E$22-'Mass Ion Calculations'!$E21-'Mass Ion Calculations'!$D$5)))</f>
        <v/>
      </c>
      <c r="U20" s="3" t="str">
        <f>IF(OR($B20="",U$3=""),"",IF('Mass Ion Calculations'!$D$6="Yes",IF('Mass Ion Calculations'!$D$7="Yes",'Mass Ion Calculations'!$D$18+'AA Exact Masses'!$Q$3-'Mass Ion Calculations'!$C$23-'Mass Ion Calculations'!$C21-'Mass Ion Calculations'!$D$5,'Mass Ion Calculations'!$F$18+'AA Exact Masses'!$Q$3-'Mass Ion Calculations'!$E$23-'Mass Ion Calculations'!$E21-'Mass Ion Calculations'!$D$5),IF('Mass Ion Calculations'!$D$7="Yes", 'Mass Ion Calculations'!$D$15+'AA Exact Masses'!$Q$3-'Mass Ion Calculations'!$C$23-'Mass Ion Calculations'!$C21-'Mass Ion Calculations'!$D$5,'Mass Ion Calculations'!$F$15+'AA Exact Masses'!$Q$3-'Mass Ion Calculations'!$E$23-'Mass Ion Calculations'!$E21-'Mass Ion Calculations'!$D$5)))</f>
        <v/>
      </c>
      <c r="V20" s="3" t="str">
        <f>IF(OR($B20="",V$3=""),"",IF('Mass Ion Calculations'!$D$6="Yes",IF('Mass Ion Calculations'!$D$7="Yes",'Mass Ion Calculations'!$D$18+'AA Exact Masses'!$Q$3-'Mass Ion Calculations'!$C$24-'Mass Ion Calculations'!$C21-'Mass Ion Calculations'!$D$5,'Mass Ion Calculations'!$F$18+'AA Exact Masses'!$Q$3-'Mass Ion Calculations'!$E$24-'Mass Ion Calculations'!$E21-'Mass Ion Calculations'!$D$5),IF('Mass Ion Calculations'!$D$7="Yes", 'Mass Ion Calculations'!$D$15+'AA Exact Masses'!$Q$3-'Mass Ion Calculations'!$C$24-'Mass Ion Calculations'!$C21-'Mass Ion Calculations'!$D$5,'Mass Ion Calculations'!$F$15+'AA Exact Masses'!$Q$3-'Mass Ion Calculations'!$E$24-'Mass Ion Calculations'!$E21-'Mass Ion Calculations'!$D$5)))</f>
        <v/>
      </c>
      <c r="W20" s="3" t="str">
        <f>IF(OR($B20="",W$3=""),"",IF('Mass Ion Calculations'!$D$6="Yes",IF('Mass Ion Calculations'!$D$7="Yes",'Mass Ion Calculations'!$D$18+'AA Exact Masses'!$Q$3-'Mass Ion Calculations'!$C$25-'Mass Ion Calculations'!$C21-'Mass Ion Calculations'!$D$5,'Mass Ion Calculations'!$F$18+'AA Exact Masses'!$Q$3-'Mass Ion Calculations'!$E$25-'Mass Ion Calculations'!$E21-'Mass Ion Calculations'!$D$5),IF('Mass Ion Calculations'!$D$7="Yes", 'Mass Ion Calculations'!$D$15+'AA Exact Masses'!$Q$3-'Mass Ion Calculations'!$C$25-'Mass Ion Calculations'!$C21-'Mass Ion Calculations'!$D$5,'Mass Ion Calculations'!$F$15+'AA Exact Masses'!$Q$3-'Mass Ion Calculations'!$E$25-'Mass Ion Calculations'!$E21-'Mass Ion Calculations'!$D$5)))</f>
        <v/>
      </c>
      <c r="X20" s="3" t="str">
        <f>IF(OR($B20="",X$3=""),"",IF('Mass Ion Calculations'!$D$6="Yes",IF('Mass Ion Calculations'!$D$7="Yes",'Mass Ion Calculations'!$D$18+'AA Exact Masses'!$Q$3-'Mass Ion Calculations'!$C$26-'Mass Ion Calculations'!$C21-'Mass Ion Calculations'!$D$5,'Mass Ion Calculations'!$F$18+'AA Exact Masses'!$Q$3-'Mass Ion Calculations'!$E$26-'Mass Ion Calculations'!$E21-'Mass Ion Calculations'!$D$5),IF('Mass Ion Calculations'!$D$7="Yes", 'Mass Ion Calculations'!$D$15+'AA Exact Masses'!$Q$3-'Mass Ion Calculations'!$C$26-'Mass Ion Calculations'!$C21-'Mass Ion Calculations'!$D$5,'Mass Ion Calculations'!$F$15+'AA Exact Masses'!$Q$3-'Mass Ion Calculations'!$E$26-'Mass Ion Calculations'!$E21-'Mass Ion Calculations'!$D$5)))</f>
        <v/>
      </c>
      <c r="Y20" s="3" t="str">
        <f>IF(OR($B20="",Y$3=""),"",IF('Mass Ion Calculations'!$D$6="Yes",IF('Mass Ion Calculations'!$D$7="Yes",'Mass Ion Calculations'!$D$18+'AA Exact Masses'!$Q$3-'Mass Ion Calculations'!$C$27-'Mass Ion Calculations'!$C21-'Mass Ion Calculations'!$D$5,'Mass Ion Calculations'!$F$18+'AA Exact Masses'!$Q$3-'Mass Ion Calculations'!$E$27-'Mass Ion Calculations'!$E21-'Mass Ion Calculations'!$D$5),IF('Mass Ion Calculations'!$D$7="Yes", 'Mass Ion Calculations'!$D$15+'AA Exact Masses'!$Q$3-'Mass Ion Calculations'!$C$27-'Mass Ion Calculations'!$C21-'Mass Ion Calculations'!$D$5,'Mass Ion Calculations'!$F$15+'AA Exact Masses'!$Q$3-'Mass Ion Calculations'!$E$27-'Mass Ion Calculations'!$E21-'Mass Ion Calculations'!$D$5)))</f>
        <v/>
      </c>
      <c r="Z20" s="3" t="str">
        <f>IF(OR($B20="",Z$3=""),"",IF('Mass Ion Calculations'!$D$6="Yes",IF('Mass Ion Calculations'!$D$7="Yes",'Mass Ion Calculations'!$D$18+'AA Exact Masses'!$Q$3-'Mass Ion Calculations'!$C$28-'Mass Ion Calculations'!$C21-'Mass Ion Calculations'!$D$5,'Mass Ion Calculations'!$F$18+'AA Exact Masses'!$Q$3-'Mass Ion Calculations'!$E$28-'Mass Ion Calculations'!$E21-'Mass Ion Calculations'!$D$5),IF('Mass Ion Calculations'!$D$7="Yes", 'Mass Ion Calculations'!$D$15+'AA Exact Masses'!$Q$3-'Mass Ion Calculations'!$C$28-'Mass Ion Calculations'!$C21-'Mass Ion Calculations'!$D$5,'Mass Ion Calculations'!$F$15+'AA Exact Masses'!$Q$3-'Mass Ion Calculations'!$E$28-'Mass Ion Calculations'!$E21-'Mass Ion Calculations'!$D$5)))</f>
        <v/>
      </c>
    </row>
    <row r="21" spans="2:26" x14ac:dyDescent="0.25">
      <c r="B21" s="4" t="str">
        <f>IF('Mass Ion Calculations'!B22="","",'Mass Ion Calculations'!B22)</f>
        <v>HOAt</v>
      </c>
      <c r="C21" s="3" t="e">
        <f>IF(OR($B21="",C$3=""),"",IF('Mass Ion Calculations'!$D$6="Yes",IF('Mass Ion Calculations'!$D$7="Yes",'Mass Ion Calculations'!$D$18+'AA Exact Masses'!$Q$3-'Mass Ion Calculations'!$C$5-'Mass Ion Calculations'!$C22-'Mass Ion Calculations'!$D$5,'Mass Ion Calculations'!$F$18+'AA Exact Masses'!$Q$3-'Mass Ion Calculations'!$E$5-'Mass Ion Calculations'!$E22-'Mass Ion Calculations'!$D$5),IF('Mass Ion Calculations'!$D$7="Yes", 'Mass Ion Calculations'!$D$15+'AA Exact Masses'!$Q$3-'Mass Ion Calculations'!$C$5-'Mass Ion Calculations'!$C22-'Mass Ion Calculations'!$D$5,'Mass Ion Calculations'!$F$15+'AA Exact Masses'!$Q$3-'Mass Ion Calculations'!$E$5-'Mass Ion Calculations'!$E22-'Mass Ion Calculations'!$D$5)))</f>
        <v>#VALUE!</v>
      </c>
      <c r="D21" s="3" t="e">
        <f>IF(OR($B21="",D$3=""),"",IF('Mass Ion Calculations'!$D$6="Yes",IF('Mass Ion Calculations'!$D$7="Yes",'Mass Ion Calculations'!$D$18+'AA Exact Masses'!$Q$3-'Mass Ion Calculations'!$C$6-'Mass Ion Calculations'!$C22-'Mass Ion Calculations'!$D$5,'Mass Ion Calculations'!$F$18+'AA Exact Masses'!$Q$3-'Mass Ion Calculations'!$E$6-'Mass Ion Calculations'!$E22-'Mass Ion Calculations'!$D$5),IF('Mass Ion Calculations'!$D$7="Yes", 'Mass Ion Calculations'!$D$15+'AA Exact Masses'!$Q$3-'Mass Ion Calculations'!$C$6-'Mass Ion Calculations'!$C22-'Mass Ion Calculations'!$D$5,'Mass Ion Calculations'!$F$15+'AA Exact Masses'!$Q$3-'Mass Ion Calculations'!$E$6-'Mass Ion Calculations'!$E22-'Mass Ion Calculations'!$D$5)))</f>
        <v>#VALUE!</v>
      </c>
      <c r="E21" s="3" t="e">
        <f>IF(OR($B21="",E$3=""),"",IF('Mass Ion Calculations'!$D$6="Yes",IF('Mass Ion Calculations'!$D$7="Yes",'Mass Ion Calculations'!$D$18+'AA Exact Masses'!$Q$3-'Mass Ion Calculations'!$C$7-'Mass Ion Calculations'!$C22-'Mass Ion Calculations'!$D$5,'Mass Ion Calculations'!$F$18+'AA Exact Masses'!$Q$3-'Mass Ion Calculations'!$E$7-'Mass Ion Calculations'!$E22-'Mass Ion Calculations'!$D$5),IF('Mass Ion Calculations'!$D$7="Yes", 'Mass Ion Calculations'!$D$15+'AA Exact Masses'!$Q$3-'Mass Ion Calculations'!$C$7-'Mass Ion Calculations'!$C22-'Mass Ion Calculations'!$D$5,'Mass Ion Calculations'!$F$15+'AA Exact Masses'!$Q$3-'Mass Ion Calculations'!$E$7-'Mass Ion Calculations'!$E22-'Mass Ion Calculations'!$D$5)))</f>
        <v>#VALUE!</v>
      </c>
      <c r="F21" s="3" t="e">
        <f>IF(OR($B21="",F$3=""),"",IF('Mass Ion Calculations'!$D$6="Yes",IF('Mass Ion Calculations'!$D$7="Yes",'Mass Ion Calculations'!$D$18+'AA Exact Masses'!$Q$3-'Mass Ion Calculations'!$C$8-'Mass Ion Calculations'!$C22-'Mass Ion Calculations'!$D$5,'Mass Ion Calculations'!$F$18+'AA Exact Masses'!$Q$3-'Mass Ion Calculations'!$E$8-'Mass Ion Calculations'!$E22-'Mass Ion Calculations'!$D$5),IF('Mass Ion Calculations'!$D$7="Yes", 'Mass Ion Calculations'!$D$15+'AA Exact Masses'!$Q$3-'Mass Ion Calculations'!$C$8-'Mass Ion Calculations'!$C22-'Mass Ion Calculations'!$D$5,'Mass Ion Calculations'!$F$15+'AA Exact Masses'!$Q$3-'Mass Ion Calculations'!$E$8-'Mass Ion Calculations'!$E22-'Mass Ion Calculations'!$D$5)))</f>
        <v>#VALUE!</v>
      </c>
      <c r="G21" s="3" t="e">
        <f>IF(OR($B21="",G$3=""),"",IF('Mass Ion Calculations'!$D$6="Yes",IF('Mass Ion Calculations'!$D$7="Yes",'Mass Ion Calculations'!$D$18+'AA Exact Masses'!$Q$3-'Mass Ion Calculations'!$C$9-'Mass Ion Calculations'!$C22-'Mass Ion Calculations'!$D$5,'Mass Ion Calculations'!$F$18+'AA Exact Masses'!$Q$3-'Mass Ion Calculations'!$E$9-'Mass Ion Calculations'!$E22-'Mass Ion Calculations'!$D$5),IF('Mass Ion Calculations'!$D$7="Yes", 'Mass Ion Calculations'!$D$15+'AA Exact Masses'!$Q$3-'Mass Ion Calculations'!$C$9-'Mass Ion Calculations'!$C22-'Mass Ion Calculations'!$D$5,'Mass Ion Calculations'!$F$15+'AA Exact Masses'!$Q$3-'Mass Ion Calculations'!$E$9-'Mass Ion Calculations'!$E22-'Mass Ion Calculations'!$D$5)))</f>
        <v>#VALUE!</v>
      </c>
      <c r="H21" s="3" t="e">
        <f>IF(OR($B21="",H$3=""),"",IF('Mass Ion Calculations'!$D$6="Yes",IF('Mass Ion Calculations'!$D$7="Yes",'Mass Ion Calculations'!$D$18+'AA Exact Masses'!$Q$3-'Mass Ion Calculations'!$C$10-'Mass Ion Calculations'!$C22-'Mass Ion Calculations'!$D$5,'Mass Ion Calculations'!$F$18+'AA Exact Masses'!$Q$3-'Mass Ion Calculations'!$E$10-'Mass Ion Calculations'!$E22-'Mass Ion Calculations'!$D$5),IF('Mass Ion Calculations'!$D$7="Yes", 'Mass Ion Calculations'!$D$15+'AA Exact Masses'!$Q$3-'Mass Ion Calculations'!$C$10-'Mass Ion Calculations'!$C22-'Mass Ion Calculations'!$D$5,'Mass Ion Calculations'!$F$15+'AA Exact Masses'!$Q$3-'Mass Ion Calculations'!$E$10-'Mass Ion Calculations'!$E22-'Mass Ion Calculations'!$D$5)))</f>
        <v>#VALUE!</v>
      </c>
      <c r="I21" s="3" t="e">
        <f>IF(OR($B21="",I$3=""),"",IF('Mass Ion Calculations'!$D$6="Yes",IF('Mass Ion Calculations'!$D$7="Yes",'Mass Ion Calculations'!$D$18+'AA Exact Masses'!$Q$3-'Mass Ion Calculations'!$C$11-'Mass Ion Calculations'!$C22-'Mass Ion Calculations'!$D$5,'Mass Ion Calculations'!$F$18+'AA Exact Masses'!$Q$3-'Mass Ion Calculations'!$E$11-'Mass Ion Calculations'!$E22-'Mass Ion Calculations'!$D$5),IF('Mass Ion Calculations'!$D$7="Yes", 'Mass Ion Calculations'!$D$15+'AA Exact Masses'!$Q$3-'Mass Ion Calculations'!$C$11-'Mass Ion Calculations'!$C22-'Mass Ion Calculations'!$D$5,'Mass Ion Calculations'!$F$15+'AA Exact Masses'!$Q$3-'Mass Ion Calculations'!$E$11-'Mass Ion Calculations'!$E22-'Mass Ion Calculations'!$D$5)))</f>
        <v>#VALUE!</v>
      </c>
      <c r="J21" s="3" t="e">
        <f>IF(OR($B21="",J$3=""),"",IF('Mass Ion Calculations'!$D$6="Yes",IF('Mass Ion Calculations'!$D$7="Yes",'Mass Ion Calculations'!$D$18+'AA Exact Masses'!$Q$3-'Mass Ion Calculations'!$C$12-'Mass Ion Calculations'!$C22-'Mass Ion Calculations'!$D$5,'Mass Ion Calculations'!$F$18+'AA Exact Masses'!$Q$3-'Mass Ion Calculations'!$E$12-'Mass Ion Calculations'!$E22-'Mass Ion Calculations'!$D$5),IF('Mass Ion Calculations'!$D$7="Yes", 'Mass Ion Calculations'!$D$15+'AA Exact Masses'!$Q$3-'Mass Ion Calculations'!$C$12-'Mass Ion Calculations'!$C22-'Mass Ion Calculations'!$D$5,'Mass Ion Calculations'!$F$15+'AA Exact Masses'!$Q$3-'Mass Ion Calculations'!$E$12-'Mass Ion Calculations'!$E22-'Mass Ion Calculations'!$D$5)))</f>
        <v>#VALUE!</v>
      </c>
      <c r="K21" s="3" t="e">
        <f>IF(OR($B21="",K$3=""),"",IF('Mass Ion Calculations'!$D$6="Yes",IF('Mass Ion Calculations'!$D$7="Yes",'Mass Ion Calculations'!$D$18+'AA Exact Masses'!$Q$3-'Mass Ion Calculations'!$C$13-'Mass Ion Calculations'!$C22-'Mass Ion Calculations'!$D$5,'Mass Ion Calculations'!$F$18+'AA Exact Masses'!$Q$3-'Mass Ion Calculations'!$E$14-'Mass Ion Calculations'!$E22-'Mass Ion Calculations'!$D$5),IF('Mass Ion Calculations'!$D$7="Yes", 'Mass Ion Calculations'!$D$15+'AA Exact Masses'!$Q$3-'Mass Ion Calculations'!$C$13-'Mass Ion Calculations'!$C22-'Mass Ion Calculations'!$D$5,'Mass Ion Calculations'!$F$15+'AA Exact Masses'!$Q$3-'Mass Ion Calculations'!$E$14-'Mass Ion Calculations'!$E22-'Mass Ion Calculations'!$D$5)))</f>
        <v>#VALUE!</v>
      </c>
      <c r="L21" s="3" t="e">
        <f>IF(OR($B21="",L$3=""),"",IF('Mass Ion Calculations'!$D$6="Yes",IF('Mass Ion Calculations'!$D$7="Yes",'Mass Ion Calculations'!$D$18+'AA Exact Masses'!$Q$3-'Mass Ion Calculations'!$C$14-'Mass Ion Calculations'!$C22-'Mass Ion Calculations'!$D$5,'Mass Ion Calculations'!$F$18+'AA Exact Masses'!$Q$3-'Mass Ion Calculations'!$E$15-'Mass Ion Calculations'!$E22-'Mass Ion Calculations'!$D$5),IF('Mass Ion Calculations'!$D$7="Yes", 'Mass Ion Calculations'!$D$15+'AA Exact Masses'!$Q$3-'Mass Ion Calculations'!$C$14-'Mass Ion Calculations'!$C22-'Mass Ion Calculations'!$D$5,'Mass Ion Calculations'!$F$15+'AA Exact Masses'!$Q$3-'Mass Ion Calculations'!$E$15-'Mass Ion Calculations'!$E22-'Mass Ion Calculations'!$D$5)))</f>
        <v>#VALUE!</v>
      </c>
      <c r="M21" s="3" t="e">
        <f>IF(OR($B21="",M$3=""),"",IF('Mass Ion Calculations'!$D$6="Yes",IF('Mass Ion Calculations'!$D$7="Yes",'Mass Ion Calculations'!$D$18+'AA Exact Masses'!$Q$3-'Mass Ion Calculations'!$C$15-'Mass Ion Calculations'!$C22-'Mass Ion Calculations'!$D$5,'Mass Ion Calculations'!$F$18+'AA Exact Masses'!$Q$3-'Mass Ion Calculations'!$E$16-'Mass Ion Calculations'!$E22-'Mass Ion Calculations'!$D$5),IF('Mass Ion Calculations'!$D$7="Yes", 'Mass Ion Calculations'!$D$15+'AA Exact Masses'!$Q$3-'Mass Ion Calculations'!$C$15-'Mass Ion Calculations'!$C22-'Mass Ion Calculations'!$D$5,'Mass Ion Calculations'!$F$15+'AA Exact Masses'!$Q$3-'Mass Ion Calculations'!$E$16-'Mass Ion Calculations'!$E22-'Mass Ion Calculations'!$D$5)))</f>
        <v>#VALUE!</v>
      </c>
      <c r="N21" s="3" t="e">
        <f>IF(OR($B21="",N$3=""),"",IF('Mass Ion Calculations'!$D$6="Yes",IF('Mass Ion Calculations'!$D$7="Yes",'Mass Ion Calculations'!$D$18+'AA Exact Masses'!$Q$3-'Mass Ion Calculations'!$C$16-'Mass Ion Calculations'!$C22-'Mass Ion Calculations'!$D$5,'Mass Ion Calculations'!$F$18+'AA Exact Masses'!$Q$3-'Mass Ion Calculations'!$E$17-'Mass Ion Calculations'!$E22-'Mass Ion Calculations'!$D$5),IF('Mass Ion Calculations'!$D$7="Yes", 'Mass Ion Calculations'!$D$15+'AA Exact Masses'!$Q$3-'Mass Ion Calculations'!$C$16-'Mass Ion Calculations'!$C22-'Mass Ion Calculations'!$D$5,'Mass Ion Calculations'!$F$15+'AA Exact Masses'!$Q$3-'Mass Ion Calculations'!$E$17-'Mass Ion Calculations'!$E22-'Mass Ion Calculations'!$D$5)))</f>
        <v>#VALUE!</v>
      </c>
      <c r="O21" s="3" t="e">
        <f>IF(OR($B21="",O$3=""),"",IF('Mass Ion Calculations'!$D$6="Yes",IF('Mass Ion Calculations'!$D$7="Yes",'Mass Ion Calculations'!$D$18+'AA Exact Masses'!$Q$3-'Mass Ion Calculations'!$C$17-'Mass Ion Calculations'!$C22-'Mass Ion Calculations'!$D$5,'Mass Ion Calculations'!$F$18+'AA Exact Masses'!$Q$3-'Mass Ion Calculations'!$E$18-'Mass Ion Calculations'!$E22-'Mass Ion Calculations'!$D$5),IF('Mass Ion Calculations'!$D$7="Yes", 'Mass Ion Calculations'!$D$15+'AA Exact Masses'!$Q$3-'Mass Ion Calculations'!$C$17-'Mass Ion Calculations'!$C22-'Mass Ion Calculations'!$D$5,'Mass Ion Calculations'!$F$15+'AA Exact Masses'!$Q$3-'Mass Ion Calculations'!$E$18-'Mass Ion Calculations'!$E22-'Mass Ion Calculations'!$D$5)))</f>
        <v>#VALUE!</v>
      </c>
      <c r="P21" s="3" t="e">
        <f>IF(OR($B21="",P$3=""),"",IF('Mass Ion Calculations'!$D$6="Yes",IF('Mass Ion Calculations'!$D$7="Yes",'Mass Ion Calculations'!$D$18+'AA Exact Masses'!$Q$3-'Mass Ion Calculations'!$C$18-'Mass Ion Calculations'!$C22-'Mass Ion Calculations'!$D$5,'Mass Ion Calculations'!$F$18+'AA Exact Masses'!$Q$3-'Mass Ion Calculations'!#REF!-'Mass Ion Calculations'!$E22-'Mass Ion Calculations'!$D$5),IF('Mass Ion Calculations'!$D$7="Yes", 'Mass Ion Calculations'!$D$15+'AA Exact Masses'!$Q$3-'Mass Ion Calculations'!$C$18-'Mass Ion Calculations'!$C22-'Mass Ion Calculations'!$D$5,'Mass Ion Calculations'!$F$15+'AA Exact Masses'!$Q$3-'Mass Ion Calculations'!#REF!-'Mass Ion Calculations'!$E22-'Mass Ion Calculations'!$D$5)))</f>
        <v>#REF!</v>
      </c>
      <c r="Q21" s="3" t="e">
        <f>IF(OR($B21="",Q$3=""),"",IF('Mass Ion Calculations'!$D$6="Yes",IF('Mass Ion Calculations'!$D$7="Yes",'Mass Ion Calculations'!$D$18+'AA Exact Masses'!$Q$3-'Mass Ion Calculations'!$C$19-'Mass Ion Calculations'!$C22-'Mass Ion Calculations'!$D$5,'Mass Ion Calculations'!$F$18+'AA Exact Masses'!$Q$3-'Mass Ion Calculations'!$E$19-'Mass Ion Calculations'!$E22-'Mass Ion Calculations'!$D$5),IF('Mass Ion Calculations'!$D$7="Yes", 'Mass Ion Calculations'!$D$15+'AA Exact Masses'!$Q$3-'Mass Ion Calculations'!$C$19-'Mass Ion Calculations'!$C22-'Mass Ion Calculations'!$D$5,'Mass Ion Calculations'!$F$15+'AA Exact Masses'!$Q$3-'Mass Ion Calculations'!$E$19-'Mass Ion Calculations'!$E22-'Mass Ion Calculations'!$D$5)))</f>
        <v>#VALUE!</v>
      </c>
      <c r="R21" s="3" t="e">
        <f>IF(OR($B21="",R$3=""),"",IF('Mass Ion Calculations'!$D$6="Yes",IF('Mass Ion Calculations'!$D$7="Yes",'Mass Ion Calculations'!$D$18+'AA Exact Masses'!$Q$3-'Mass Ion Calculations'!$C$20-'Mass Ion Calculations'!$C22-'Mass Ion Calculations'!$D$5,'Mass Ion Calculations'!$F$18+'AA Exact Masses'!$Q$3-'Mass Ion Calculations'!$E$20-'Mass Ion Calculations'!$E22-'Mass Ion Calculations'!$D$5),IF('Mass Ion Calculations'!$D$7="Yes", 'Mass Ion Calculations'!$D$15+'AA Exact Masses'!$Q$3-'Mass Ion Calculations'!$C$20-'Mass Ion Calculations'!$C22-'Mass Ion Calculations'!$D$5,'Mass Ion Calculations'!$F$15+'AA Exact Masses'!$Q$3-'Mass Ion Calculations'!$E$20-'Mass Ion Calculations'!$E22-'Mass Ion Calculations'!$D$5)))</f>
        <v>#VALUE!</v>
      </c>
      <c r="S21" s="3" t="str">
        <f>IF(OR($B21="",S$3=""),"",IF('Mass Ion Calculations'!$D$6="Yes",IF('Mass Ion Calculations'!$D$7="Yes",'Mass Ion Calculations'!$D$18+'AA Exact Masses'!$Q$3-'Mass Ion Calculations'!$C$21-'Mass Ion Calculations'!$C22-'Mass Ion Calculations'!$D$5,'Mass Ion Calculations'!$F$18+'AA Exact Masses'!$Q$3-'Mass Ion Calculations'!$E$21-'Mass Ion Calculations'!$E22-'Mass Ion Calculations'!$D$5),IF('Mass Ion Calculations'!$D$7="Yes", 'Mass Ion Calculations'!$D$15+'AA Exact Masses'!$Q$3-'Mass Ion Calculations'!$C$21-'Mass Ion Calculations'!$C22-'Mass Ion Calculations'!$D$5,'Mass Ion Calculations'!$F$15+'AA Exact Masses'!$Q$3-'Mass Ion Calculations'!$E$21-'Mass Ion Calculations'!$E22-'Mass Ion Calculations'!$D$5)))</f>
        <v/>
      </c>
      <c r="T21" s="3" t="e">
        <f>IF(OR($B21="",T$3=""),"",IF('Mass Ion Calculations'!$D$6="Yes",IF('Mass Ion Calculations'!$D$7="Yes",'Mass Ion Calculations'!$D$18+'AA Exact Masses'!$Q$3-'Mass Ion Calculations'!$C$22-'Mass Ion Calculations'!$C22-'Mass Ion Calculations'!$D$5,'Mass Ion Calculations'!$F$18+'AA Exact Masses'!$Q$3-'Mass Ion Calculations'!$E$22-'Mass Ion Calculations'!$E22-'Mass Ion Calculations'!$D$5),IF('Mass Ion Calculations'!$D$7="Yes", 'Mass Ion Calculations'!$D$15+'AA Exact Masses'!$Q$3-'Mass Ion Calculations'!$C$22-'Mass Ion Calculations'!$C22-'Mass Ion Calculations'!$D$5,'Mass Ion Calculations'!$F$15+'AA Exact Masses'!$Q$3-'Mass Ion Calculations'!$E$22-'Mass Ion Calculations'!$E22-'Mass Ion Calculations'!$D$5)))</f>
        <v>#VALUE!</v>
      </c>
      <c r="U21" s="3" t="e">
        <f>IF(OR($B21="",U$3=""),"",IF('Mass Ion Calculations'!$D$6="Yes",IF('Mass Ion Calculations'!$D$7="Yes",'Mass Ion Calculations'!$D$18+'AA Exact Masses'!$Q$3-'Mass Ion Calculations'!$C$23-'Mass Ion Calculations'!$C22-'Mass Ion Calculations'!$D$5,'Mass Ion Calculations'!$F$18+'AA Exact Masses'!$Q$3-'Mass Ion Calculations'!$E$23-'Mass Ion Calculations'!$E22-'Mass Ion Calculations'!$D$5),IF('Mass Ion Calculations'!$D$7="Yes", 'Mass Ion Calculations'!$D$15+'AA Exact Masses'!$Q$3-'Mass Ion Calculations'!$C$23-'Mass Ion Calculations'!$C22-'Mass Ion Calculations'!$D$5,'Mass Ion Calculations'!$F$15+'AA Exact Masses'!$Q$3-'Mass Ion Calculations'!$E$23-'Mass Ion Calculations'!$E22-'Mass Ion Calculations'!$D$5)))</f>
        <v>#VALUE!</v>
      </c>
      <c r="V21" s="3" t="str">
        <f>IF(OR($B21="",V$3=""),"",IF('Mass Ion Calculations'!$D$6="Yes",IF('Mass Ion Calculations'!$D$7="Yes",'Mass Ion Calculations'!$D$18+'AA Exact Masses'!$Q$3-'Mass Ion Calculations'!$C$24-'Mass Ion Calculations'!$C22-'Mass Ion Calculations'!$D$5,'Mass Ion Calculations'!$F$18+'AA Exact Masses'!$Q$3-'Mass Ion Calculations'!$E$24-'Mass Ion Calculations'!$E22-'Mass Ion Calculations'!$D$5),IF('Mass Ion Calculations'!$D$7="Yes", 'Mass Ion Calculations'!$D$15+'AA Exact Masses'!$Q$3-'Mass Ion Calculations'!$C$24-'Mass Ion Calculations'!$C22-'Mass Ion Calculations'!$D$5,'Mass Ion Calculations'!$F$15+'AA Exact Masses'!$Q$3-'Mass Ion Calculations'!$E$24-'Mass Ion Calculations'!$E22-'Mass Ion Calculations'!$D$5)))</f>
        <v/>
      </c>
      <c r="W21" s="3" t="str">
        <f>IF(OR($B21="",W$3=""),"",IF('Mass Ion Calculations'!$D$6="Yes",IF('Mass Ion Calculations'!$D$7="Yes",'Mass Ion Calculations'!$D$18+'AA Exact Masses'!$Q$3-'Mass Ion Calculations'!$C$25-'Mass Ion Calculations'!$C22-'Mass Ion Calculations'!$D$5,'Mass Ion Calculations'!$F$18+'AA Exact Masses'!$Q$3-'Mass Ion Calculations'!$E$25-'Mass Ion Calculations'!$E22-'Mass Ion Calculations'!$D$5),IF('Mass Ion Calculations'!$D$7="Yes", 'Mass Ion Calculations'!$D$15+'AA Exact Masses'!$Q$3-'Mass Ion Calculations'!$C$25-'Mass Ion Calculations'!$C22-'Mass Ion Calculations'!$D$5,'Mass Ion Calculations'!$F$15+'AA Exact Masses'!$Q$3-'Mass Ion Calculations'!$E$25-'Mass Ion Calculations'!$E22-'Mass Ion Calculations'!$D$5)))</f>
        <v/>
      </c>
      <c r="X21" s="3" t="str">
        <f>IF(OR($B21="",X$3=""),"",IF('Mass Ion Calculations'!$D$6="Yes",IF('Mass Ion Calculations'!$D$7="Yes",'Mass Ion Calculations'!$D$18+'AA Exact Masses'!$Q$3-'Mass Ion Calculations'!$C$26-'Mass Ion Calculations'!$C22-'Mass Ion Calculations'!$D$5,'Mass Ion Calculations'!$F$18+'AA Exact Masses'!$Q$3-'Mass Ion Calculations'!$E$26-'Mass Ion Calculations'!$E22-'Mass Ion Calculations'!$D$5),IF('Mass Ion Calculations'!$D$7="Yes", 'Mass Ion Calculations'!$D$15+'AA Exact Masses'!$Q$3-'Mass Ion Calculations'!$C$26-'Mass Ion Calculations'!$C22-'Mass Ion Calculations'!$D$5,'Mass Ion Calculations'!$F$15+'AA Exact Masses'!$Q$3-'Mass Ion Calculations'!$E$26-'Mass Ion Calculations'!$E22-'Mass Ion Calculations'!$D$5)))</f>
        <v/>
      </c>
      <c r="Y21" s="3" t="str">
        <f>IF(OR($B21="",Y$3=""),"",IF('Mass Ion Calculations'!$D$6="Yes",IF('Mass Ion Calculations'!$D$7="Yes",'Mass Ion Calculations'!$D$18+'AA Exact Masses'!$Q$3-'Mass Ion Calculations'!$C$27-'Mass Ion Calculations'!$C22-'Mass Ion Calculations'!$D$5,'Mass Ion Calculations'!$F$18+'AA Exact Masses'!$Q$3-'Mass Ion Calculations'!$E$27-'Mass Ion Calculations'!$E22-'Mass Ion Calculations'!$D$5),IF('Mass Ion Calculations'!$D$7="Yes", 'Mass Ion Calculations'!$D$15+'AA Exact Masses'!$Q$3-'Mass Ion Calculations'!$C$27-'Mass Ion Calculations'!$C22-'Mass Ion Calculations'!$D$5,'Mass Ion Calculations'!$F$15+'AA Exact Masses'!$Q$3-'Mass Ion Calculations'!$E$27-'Mass Ion Calculations'!$E22-'Mass Ion Calculations'!$D$5)))</f>
        <v/>
      </c>
      <c r="Z21" s="3" t="str">
        <f>IF(OR($B21="",Z$3=""),"",IF('Mass Ion Calculations'!$D$6="Yes",IF('Mass Ion Calculations'!$D$7="Yes",'Mass Ion Calculations'!$D$18+'AA Exact Masses'!$Q$3-'Mass Ion Calculations'!$C$28-'Mass Ion Calculations'!$C22-'Mass Ion Calculations'!$D$5,'Mass Ion Calculations'!$F$18+'AA Exact Masses'!$Q$3-'Mass Ion Calculations'!$E$28-'Mass Ion Calculations'!$E22-'Mass Ion Calculations'!$D$5),IF('Mass Ion Calculations'!$D$7="Yes", 'Mass Ion Calculations'!$D$15+'AA Exact Masses'!$Q$3-'Mass Ion Calculations'!$C$28-'Mass Ion Calculations'!$C22-'Mass Ion Calculations'!$D$5,'Mass Ion Calculations'!$F$15+'AA Exact Masses'!$Q$3-'Mass Ion Calculations'!$E$28-'Mass Ion Calculations'!$E22-'Mass Ion Calculations'!$D$5)))</f>
        <v/>
      </c>
    </row>
    <row r="22" spans="2:26" x14ac:dyDescent="0.25">
      <c r="B22" s="4" t="str">
        <f>IF('Mass Ion Calculations'!B23="","",'Mass Ion Calculations'!B23)</f>
        <v>HCTU</v>
      </c>
      <c r="C22" s="3" t="e">
        <f>IF(OR($B22="",C$3=""),"",IF('Mass Ion Calculations'!$D$6="Yes",IF('Mass Ion Calculations'!$D$7="Yes",'Mass Ion Calculations'!$D$18+'AA Exact Masses'!$Q$3-'Mass Ion Calculations'!$C$5-'Mass Ion Calculations'!$C23-'Mass Ion Calculations'!$D$5,'Mass Ion Calculations'!$F$18+'AA Exact Masses'!$Q$3-'Mass Ion Calculations'!$E$5-'Mass Ion Calculations'!$E23-'Mass Ion Calculations'!$D$5),IF('Mass Ion Calculations'!$D$7="Yes", 'Mass Ion Calculations'!$D$15+'AA Exact Masses'!$Q$3-'Mass Ion Calculations'!$C$5-'Mass Ion Calculations'!$C23-'Mass Ion Calculations'!$D$5,'Mass Ion Calculations'!$F$15+'AA Exact Masses'!$Q$3-'Mass Ion Calculations'!$E$5-'Mass Ion Calculations'!$E23-'Mass Ion Calculations'!$D$5)))</f>
        <v>#VALUE!</v>
      </c>
      <c r="D22" s="3" t="e">
        <f>IF(OR($B22="",D$3=""),"",IF('Mass Ion Calculations'!$D$6="Yes",IF('Mass Ion Calculations'!$D$7="Yes",'Mass Ion Calculations'!$D$18+'AA Exact Masses'!$Q$3-'Mass Ion Calculations'!$C$6-'Mass Ion Calculations'!$C23-'Mass Ion Calculations'!$D$5,'Mass Ion Calculations'!$F$18+'AA Exact Masses'!$Q$3-'Mass Ion Calculations'!$E$6-'Mass Ion Calculations'!$E23-'Mass Ion Calculations'!$D$5),IF('Mass Ion Calculations'!$D$7="Yes", 'Mass Ion Calculations'!$D$15+'AA Exact Masses'!$Q$3-'Mass Ion Calculations'!$C$6-'Mass Ion Calculations'!$C23-'Mass Ion Calculations'!$D$5,'Mass Ion Calculations'!$F$15+'AA Exact Masses'!$Q$3-'Mass Ion Calculations'!$E$6-'Mass Ion Calculations'!$E23-'Mass Ion Calculations'!$D$5)))</f>
        <v>#VALUE!</v>
      </c>
      <c r="E22" s="3" t="e">
        <f>IF(OR($B22="",E$3=""),"",IF('Mass Ion Calculations'!$D$6="Yes",IF('Mass Ion Calculations'!$D$7="Yes",'Mass Ion Calculations'!$D$18+'AA Exact Masses'!$Q$3-'Mass Ion Calculations'!$C$7-'Mass Ion Calculations'!$C23-'Mass Ion Calculations'!$D$5,'Mass Ion Calculations'!$F$18+'AA Exact Masses'!$Q$3-'Mass Ion Calculations'!$E$7-'Mass Ion Calculations'!$E23-'Mass Ion Calculations'!$D$5),IF('Mass Ion Calculations'!$D$7="Yes", 'Mass Ion Calculations'!$D$15+'AA Exact Masses'!$Q$3-'Mass Ion Calculations'!$C$7-'Mass Ion Calculations'!$C23-'Mass Ion Calculations'!$D$5,'Mass Ion Calculations'!$F$15+'AA Exact Masses'!$Q$3-'Mass Ion Calculations'!$E$7-'Mass Ion Calculations'!$E23-'Mass Ion Calculations'!$D$5)))</f>
        <v>#VALUE!</v>
      </c>
      <c r="F22" s="3" t="e">
        <f>IF(OR($B22="",F$3=""),"",IF('Mass Ion Calculations'!$D$6="Yes",IF('Mass Ion Calculations'!$D$7="Yes",'Mass Ion Calculations'!$D$18+'AA Exact Masses'!$Q$3-'Mass Ion Calculations'!$C$8-'Mass Ion Calculations'!$C23-'Mass Ion Calculations'!$D$5,'Mass Ion Calculations'!$F$18+'AA Exact Masses'!$Q$3-'Mass Ion Calculations'!$E$8-'Mass Ion Calculations'!$E23-'Mass Ion Calculations'!$D$5),IF('Mass Ion Calculations'!$D$7="Yes", 'Mass Ion Calculations'!$D$15+'AA Exact Masses'!$Q$3-'Mass Ion Calculations'!$C$8-'Mass Ion Calculations'!$C23-'Mass Ion Calculations'!$D$5,'Mass Ion Calculations'!$F$15+'AA Exact Masses'!$Q$3-'Mass Ion Calculations'!$E$8-'Mass Ion Calculations'!$E23-'Mass Ion Calculations'!$D$5)))</f>
        <v>#VALUE!</v>
      </c>
      <c r="G22" s="3" t="e">
        <f>IF(OR($B22="",G$3=""),"",IF('Mass Ion Calculations'!$D$6="Yes",IF('Mass Ion Calculations'!$D$7="Yes",'Mass Ion Calculations'!$D$18+'AA Exact Masses'!$Q$3-'Mass Ion Calculations'!$C$9-'Mass Ion Calculations'!$C23-'Mass Ion Calculations'!$D$5,'Mass Ion Calculations'!$F$18+'AA Exact Masses'!$Q$3-'Mass Ion Calculations'!$E$9-'Mass Ion Calculations'!$E23-'Mass Ion Calculations'!$D$5),IF('Mass Ion Calculations'!$D$7="Yes", 'Mass Ion Calculations'!$D$15+'AA Exact Masses'!$Q$3-'Mass Ion Calculations'!$C$9-'Mass Ion Calculations'!$C23-'Mass Ion Calculations'!$D$5,'Mass Ion Calculations'!$F$15+'AA Exact Masses'!$Q$3-'Mass Ion Calculations'!$E$9-'Mass Ion Calculations'!$E23-'Mass Ion Calculations'!$D$5)))</f>
        <v>#VALUE!</v>
      </c>
      <c r="H22" s="3" t="e">
        <f>IF(OR($B22="",H$3=""),"",IF('Mass Ion Calculations'!$D$6="Yes",IF('Mass Ion Calculations'!$D$7="Yes",'Mass Ion Calculations'!$D$18+'AA Exact Masses'!$Q$3-'Mass Ion Calculations'!$C$10-'Mass Ion Calculations'!$C23-'Mass Ion Calculations'!$D$5,'Mass Ion Calculations'!$F$18+'AA Exact Masses'!$Q$3-'Mass Ion Calculations'!$E$10-'Mass Ion Calculations'!$E23-'Mass Ion Calculations'!$D$5),IF('Mass Ion Calculations'!$D$7="Yes", 'Mass Ion Calculations'!$D$15+'AA Exact Masses'!$Q$3-'Mass Ion Calculations'!$C$10-'Mass Ion Calculations'!$C23-'Mass Ion Calculations'!$D$5,'Mass Ion Calculations'!$F$15+'AA Exact Masses'!$Q$3-'Mass Ion Calculations'!$E$10-'Mass Ion Calculations'!$E23-'Mass Ion Calculations'!$D$5)))</f>
        <v>#VALUE!</v>
      </c>
      <c r="I22" s="3" t="e">
        <f>IF(OR($B22="",I$3=""),"",IF('Mass Ion Calculations'!$D$6="Yes",IF('Mass Ion Calculations'!$D$7="Yes",'Mass Ion Calculations'!$D$18+'AA Exact Masses'!$Q$3-'Mass Ion Calculations'!$C$11-'Mass Ion Calculations'!$C23-'Mass Ion Calculations'!$D$5,'Mass Ion Calculations'!$F$18+'AA Exact Masses'!$Q$3-'Mass Ion Calculations'!$E$11-'Mass Ion Calculations'!$E23-'Mass Ion Calculations'!$D$5),IF('Mass Ion Calculations'!$D$7="Yes", 'Mass Ion Calculations'!$D$15+'AA Exact Masses'!$Q$3-'Mass Ion Calculations'!$C$11-'Mass Ion Calculations'!$C23-'Mass Ion Calculations'!$D$5,'Mass Ion Calculations'!$F$15+'AA Exact Masses'!$Q$3-'Mass Ion Calculations'!$E$11-'Mass Ion Calculations'!$E23-'Mass Ion Calculations'!$D$5)))</f>
        <v>#VALUE!</v>
      </c>
      <c r="J22" s="3" t="e">
        <f>IF(OR($B22="",J$3=""),"",IF('Mass Ion Calculations'!$D$6="Yes",IF('Mass Ion Calculations'!$D$7="Yes",'Mass Ion Calculations'!$D$18+'AA Exact Masses'!$Q$3-'Mass Ion Calculations'!$C$12-'Mass Ion Calculations'!$C23-'Mass Ion Calculations'!$D$5,'Mass Ion Calculations'!$F$18+'AA Exact Masses'!$Q$3-'Mass Ion Calculations'!$E$12-'Mass Ion Calculations'!$E23-'Mass Ion Calculations'!$D$5),IF('Mass Ion Calculations'!$D$7="Yes", 'Mass Ion Calculations'!$D$15+'AA Exact Masses'!$Q$3-'Mass Ion Calculations'!$C$12-'Mass Ion Calculations'!$C23-'Mass Ion Calculations'!$D$5,'Mass Ion Calculations'!$F$15+'AA Exact Masses'!$Q$3-'Mass Ion Calculations'!$E$12-'Mass Ion Calculations'!$E23-'Mass Ion Calculations'!$D$5)))</f>
        <v>#VALUE!</v>
      </c>
      <c r="K22" s="3" t="e">
        <f>IF(OR($B22="",K$3=""),"",IF('Mass Ion Calculations'!$D$6="Yes",IF('Mass Ion Calculations'!$D$7="Yes",'Mass Ion Calculations'!$D$18+'AA Exact Masses'!$Q$3-'Mass Ion Calculations'!$C$13-'Mass Ion Calculations'!$C23-'Mass Ion Calculations'!$D$5,'Mass Ion Calculations'!$F$18+'AA Exact Masses'!$Q$3-'Mass Ion Calculations'!$E$14-'Mass Ion Calculations'!$E23-'Mass Ion Calculations'!$D$5),IF('Mass Ion Calculations'!$D$7="Yes", 'Mass Ion Calculations'!$D$15+'AA Exact Masses'!$Q$3-'Mass Ion Calculations'!$C$13-'Mass Ion Calculations'!$C23-'Mass Ion Calculations'!$D$5,'Mass Ion Calculations'!$F$15+'AA Exact Masses'!$Q$3-'Mass Ion Calculations'!$E$14-'Mass Ion Calculations'!$E23-'Mass Ion Calculations'!$D$5)))</f>
        <v>#VALUE!</v>
      </c>
      <c r="L22" s="3" t="e">
        <f>IF(OR($B22="",L$3=""),"",IF('Mass Ion Calculations'!$D$6="Yes",IF('Mass Ion Calculations'!$D$7="Yes",'Mass Ion Calculations'!$D$18+'AA Exact Masses'!$Q$3-'Mass Ion Calculations'!$C$14-'Mass Ion Calculations'!$C23-'Mass Ion Calculations'!$D$5,'Mass Ion Calculations'!$F$18+'AA Exact Masses'!$Q$3-'Mass Ion Calculations'!$E$15-'Mass Ion Calculations'!$E23-'Mass Ion Calculations'!$D$5),IF('Mass Ion Calculations'!$D$7="Yes", 'Mass Ion Calculations'!$D$15+'AA Exact Masses'!$Q$3-'Mass Ion Calculations'!$C$14-'Mass Ion Calculations'!$C23-'Mass Ion Calculations'!$D$5,'Mass Ion Calculations'!$F$15+'AA Exact Masses'!$Q$3-'Mass Ion Calculations'!$E$15-'Mass Ion Calculations'!$E23-'Mass Ion Calculations'!$D$5)))</f>
        <v>#VALUE!</v>
      </c>
      <c r="M22" s="3" t="e">
        <f>IF(OR($B22="",M$3=""),"",IF('Mass Ion Calculations'!$D$6="Yes",IF('Mass Ion Calculations'!$D$7="Yes",'Mass Ion Calculations'!$D$18+'AA Exact Masses'!$Q$3-'Mass Ion Calculations'!$C$15-'Mass Ion Calculations'!$C23-'Mass Ion Calculations'!$D$5,'Mass Ion Calculations'!$F$18+'AA Exact Masses'!$Q$3-'Mass Ion Calculations'!$E$16-'Mass Ion Calculations'!$E23-'Mass Ion Calculations'!$D$5),IF('Mass Ion Calculations'!$D$7="Yes", 'Mass Ion Calculations'!$D$15+'AA Exact Masses'!$Q$3-'Mass Ion Calculations'!$C$15-'Mass Ion Calculations'!$C23-'Mass Ion Calculations'!$D$5,'Mass Ion Calculations'!$F$15+'AA Exact Masses'!$Q$3-'Mass Ion Calculations'!$E$16-'Mass Ion Calculations'!$E23-'Mass Ion Calculations'!$D$5)))</f>
        <v>#VALUE!</v>
      </c>
      <c r="N22" s="3" t="e">
        <f>IF(OR($B22="",N$3=""),"",IF('Mass Ion Calculations'!$D$6="Yes",IF('Mass Ion Calculations'!$D$7="Yes",'Mass Ion Calculations'!$D$18+'AA Exact Masses'!$Q$3-'Mass Ion Calculations'!$C$16-'Mass Ion Calculations'!$C23-'Mass Ion Calculations'!$D$5,'Mass Ion Calculations'!$F$18+'AA Exact Masses'!$Q$3-'Mass Ion Calculations'!$E$17-'Mass Ion Calculations'!$E23-'Mass Ion Calculations'!$D$5),IF('Mass Ion Calculations'!$D$7="Yes", 'Mass Ion Calculations'!$D$15+'AA Exact Masses'!$Q$3-'Mass Ion Calculations'!$C$16-'Mass Ion Calculations'!$C23-'Mass Ion Calculations'!$D$5,'Mass Ion Calculations'!$F$15+'AA Exact Masses'!$Q$3-'Mass Ion Calculations'!$E$17-'Mass Ion Calculations'!$E23-'Mass Ion Calculations'!$D$5)))</f>
        <v>#VALUE!</v>
      </c>
      <c r="O22" s="3" t="e">
        <f>IF(OR($B22="",O$3=""),"",IF('Mass Ion Calculations'!$D$6="Yes",IF('Mass Ion Calculations'!$D$7="Yes",'Mass Ion Calculations'!$D$18+'AA Exact Masses'!$Q$3-'Mass Ion Calculations'!$C$17-'Mass Ion Calculations'!$C23-'Mass Ion Calculations'!$D$5,'Mass Ion Calculations'!$F$18+'AA Exact Masses'!$Q$3-'Mass Ion Calculations'!$E$18-'Mass Ion Calculations'!$E23-'Mass Ion Calculations'!$D$5),IF('Mass Ion Calculations'!$D$7="Yes", 'Mass Ion Calculations'!$D$15+'AA Exact Masses'!$Q$3-'Mass Ion Calculations'!$C$17-'Mass Ion Calculations'!$C23-'Mass Ion Calculations'!$D$5,'Mass Ion Calculations'!$F$15+'AA Exact Masses'!$Q$3-'Mass Ion Calculations'!$E$18-'Mass Ion Calculations'!$E23-'Mass Ion Calculations'!$D$5)))</f>
        <v>#VALUE!</v>
      </c>
      <c r="P22" s="3" t="e">
        <f>IF(OR($B22="",P$3=""),"",IF('Mass Ion Calculations'!$D$6="Yes",IF('Mass Ion Calculations'!$D$7="Yes",'Mass Ion Calculations'!$D$18+'AA Exact Masses'!$Q$3-'Mass Ion Calculations'!$C$18-'Mass Ion Calculations'!$C23-'Mass Ion Calculations'!$D$5,'Mass Ion Calculations'!$F$18+'AA Exact Masses'!$Q$3-'Mass Ion Calculations'!#REF!-'Mass Ion Calculations'!$E23-'Mass Ion Calculations'!$D$5),IF('Mass Ion Calculations'!$D$7="Yes", 'Mass Ion Calculations'!$D$15+'AA Exact Masses'!$Q$3-'Mass Ion Calculations'!$C$18-'Mass Ion Calculations'!$C23-'Mass Ion Calculations'!$D$5,'Mass Ion Calculations'!$F$15+'AA Exact Masses'!$Q$3-'Mass Ion Calculations'!#REF!-'Mass Ion Calculations'!$E23-'Mass Ion Calculations'!$D$5)))</f>
        <v>#REF!</v>
      </c>
      <c r="Q22" s="3" t="e">
        <f>IF(OR($B22="",Q$3=""),"",IF('Mass Ion Calculations'!$D$6="Yes",IF('Mass Ion Calculations'!$D$7="Yes",'Mass Ion Calculations'!$D$18+'AA Exact Masses'!$Q$3-'Mass Ion Calculations'!$C$19-'Mass Ion Calculations'!$C23-'Mass Ion Calculations'!$D$5,'Mass Ion Calculations'!$F$18+'AA Exact Masses'!$Q$3-'Mass Ion Calculations'!$E$19-'Mass Ion Calculations'!$E23-'Mass Ion Calculations'!$D$5),IF('Mass Ion Calculations'!$D$7="Yes", 'Mass Ion Calculations'!$D$15+'AA Exact Masses'!$Q$3-'Mass Ion Calculations'!$C$19-'Mass Ion Calculations'!$C23-'Mass Ion Calculations'!$D$5,'Mass Ion Calculations'!$F$15+'AA Exact Masses'!$Q$3-'Mass Ion Calculations'!$E$19-'Mass Ion Calculations'!$E23-'Mass Ion Calculations'!$D$5)))</f>
        <v>#VALUE!</v>
      </c>
      <c r="R22" s="3" t="e">
        <f>IF(OR($B22="",R$3=""),"",IF('Mass Ion Calculations'!$D$6="Yes",IF('Mass Ion Calculations'!$D$7="Yes",'Mass Ion Calculations'!$D$18+'AA Exact Masses'!$Q$3-'Mass Ion Calculations'!$C$20-'Mass Ion Calculations'!$C23-'Mass Ion Calculations'!$D$5,'Mass Ion Calculations'!$F$18+'AA Exact Masses'!$Q$3-'Mass Ion Calculations'!$E$20-'Mass Ion Calculations'!$E23-'Mass Ion Calculations'!$D$5),IF('Mass Ion Calculations'!$D$7="Yes", 'Mass Ion Calculations'!$D$15+'AA Exact Masses'!$Q$3-'Mass Ion Calculations'!$C$20-'Mass Ion Calculations'!$C23-'Mass Ion Calculations'!$D$5,'Mass Ion Calculations'!$F$15+'AA Exact Masses'!$Q$3-'Mass Ion Calculations'!$E$20-'Mass Ion Calculations'!$E23-'Mass Ion Calculations'!$D$5)))</f>
        <v>#VALUE!</v>
      </c>
      <c r="S22" s="3" t="str">
        <f>IF(OR($B22="",S$3=""),"",IF('Mass Ion Calculations'!$D$6="Yes",IF('Mass Ion Calculations'!$D$7="Yes",'Mass Ion Calculations'!$D$18+'AA Exact Masses'!$Q$3-'Mass Ion Calculations'!$C$21-'Mass Ion Calculations'!$C23-'Mass Ion Calculations'!$D$5,'Mass Ion Calculations'!$F$18+'AA Exact Masses'!$Q$3-'Mass Ion Calculations'!$E$21-'Mass Ion Calculations'!$E23-'Mass Ion Calculations'!$D$5),IF('Mass Ion Calculations'!$D$7="Yes", 'Mass Ion Calculations'!$D$15+'AA Exact Masses'!$Q$3-'Mass Ion Calculations'!$C$21-'Mass Ion Calculations'!$C23-'Mass Ion Calculations'!$D$5,'Mass Ion Calculations'!$F$15+'AA Exact Masses'!$Q$3-'Mass Ion Calculations'!$E$21-'Mass Ion Calculations'!$E23-'Mass Ion Calculations'!$D$5)))</f>
        <v/>
      </c>
      <c r="T22" s="3" t="e">
        <f>IF(OR($B22="",T$3=""),"",IF('Mass Ion Calculations'!$D$6="Yes",IF('Mass Ion Calculations'!$D$7="Yes",'Mass Ion Calculations'!$D$18+'AA Exact Masses'!$Q$3-'Mass Ion Calculations'!$C$22-'Mass Ion Calculations'!$C23-'Mass Ion Calculations'!$D$5,'Mass Ion Calculations'!$F$18+'AA Exact Masses'!$Q$3-'Mass Ion Calculations'!$E$22-'Mass Ion Calculations'!$E23-'Mass Ion Calculations'!$D$5),IF('Mass Ion Calculations'!$D$7="Yes", 'Mass Ion Calculations'!$D$15+'AA Exact Masses'!$Q$3-'Mass Ion Calculations'!$C$22-'Mass Ion Calculations'!$C23-'Mass Ion Calculations'!$D$5,'Mass Ion Calculations'!$F$15+'AA Exact Masses'!$Q$3-'Mass Ion Calculations'!$E$22-'Mass Ion Calculations'!$E23-'Mass Ion Calculations'!$D$5)))</f>
        <v>#VALUE!</v>
      </c>
      <c r="U22" s="3" t="e">
        <f>IF(OR($B22="",U$3=""),"",IF('Mass Ion Calculations'!$D$6="Yes",IF('Mass Ion Calculations'!$D$7="Yes",'Mass Ion Calculations'!$D$18+'AA Exact Masses'!$Q$3-'Mass Ion Calculations'!$C$23-'Mass Ion Calculations'!$C23-'Mass Ion Calculations'!$D$5,'Mass Ion Calculations'!$F$18+'AA Exact Masses'!$Q$3-'Mass Ion Calculations'!$E$23-'Mass Ion Calculations'!$E23-'Mass Ion Calculations'!$D$5),IF('Mass Ion Calculations'!$D$7="Yes", 'Mass Ion Calculations'!$D$15+'AA Exact Masses'!$Q$3-'Mass Ion Calculations'!$C$23-'Mass Ion Calculations'!$C23-'Mass Ion Calculations'!$D$5,'Mass Ion Calculations'!$F$15+'AA Exact Masses'!$Q$3-'Mass Ion Calculations'!$E$23-'Mass Ion Calculations'!$E23-'Mass Ion Calculations'!$D$5)))</f>
        <v>#VALUE!</v>
      </c>
      <c r="V22" s="3" t="str">
        <f>IF(OR($B22="",V$3=""),"",IF('Mass Ion Calculations'!$D$6="Yes",IF('Mass Ion Calculations'!$D$7="Yes",'Mass Ion Calculations'!$D$18+'AA Exact Masses'!$Q$3-'Mass Ion Calculations'!$C$24-'Mass Ion Calculations'!$C23-'Mass Ion Calculations'!$D$5,'Mass Ion Calculations'!$F$18+'AA Exact Masses'!$Q$3-'Mass Ion Calculations'!$E$24-'Mass Ion Calculations'!$E23-'Mass Ion Calculations'!$D$5),IF('Mass Ion Calculations'!$D$7="Yes", 'Mass Ion Calculations'!$D$15+'AA Exact Masses'!$Q$3-'Mass Ion Calculations'!$C$24-'Mass Ion Calculations'!$C23-'Mass Ion Calculations'!$D$5,'Mass Ion Calculations'!$F$15+'AA Exact Masses'!$Q$3-'Mass Ion Calculations'!$E$24-'Mass Ion Calculations'!$E23-'Mass Ion Calculations'!$D$5)))</f>
        <v/>
      </c>
      <c r="W22" s="3" t="str">
        <f>IF(OR($B22="",W$3=""),"",IF('Mass Ion Calculations'!$D$6="Yes",IF('Mass Ion Calculations'!$D$7="Yes",'Mass Ion Calculations'!$D$18+'AA Exact Masses'!$Q$3-'Mass Ion Calculations'!$C$25-'Mass Ion Calculations'!$C23-'Mass Ion Calculations'!$D$5,'Mass Ion Calculations'!$F$18+'AA Exact Masses'!$Q$3-'Mass Ion Calculations'!$E$25-'Mass Ion Calculations'!$E23-'Mass Ion Calculations'!$D$5),IF('Mass Ion Calculations'!$D$7="Yes", 'Mass Ion Calculations'!$D$15+'AA Exact Masses'!$Q$3-'Mass Ion Calculations'!$C$25-'Mass Ion Calculations'!$C23-'Mass Ion Calculations'!$D$5,'Mass Ion Calculations'!$F$15+'AA Exact Masses'!$Q$3-'Mass Ion Calculations'!$E$25-'Mass Ion Calculations'!$E23-'Mass Ion Calculations'!$D$5)))</f>
        <v/>
      </c>
      <c r="X22" s="3" t="str">
        <f>IF(OR($B22="",X$3=""),"",IF('Mass Ion Calculations'!$D$6="Yes",IF('Mass Ion Calculations'!$D$7="Yes",'Mass Ion Calculations'!$D$18+'AA Exact Masses'!$Q$3-'Mass Ion Calculations'!$C$26-'Mass Ion Calculations'!$C23-'Mass Ion Calculations'!$D$5,'Mass Ion Calculations'!$F$18+'AA Exact Masses'!$Q$3-'Mass Ion Calculations'!$E$26-'Mass Ion Calculations'!$E23-'Mass Ion Calculations'!$D$5),IF('Mass Ion Calculations'!$D$7="Yes", 'Mass Ion Calculations'!$D$15+'AA Exact Masses'!$Q$3-'Mass Ion Calculations'!$C$26-'Mass Ion Calculations'!$C23-'Mass Ion Calculations'!$D$5,'Mass Ion Calculations'!$F$15+'AA Exact Masses'!$Q$3-'Mass Ion Calculations'!$E$26-'Mass Ion Calculations'!$E23-'Mass Ion Calculations'!$D$5)))</f>
        <v/>
      </c>
      <c r="Y22" s="3" t="str">
        <f>IF(OR($B22="",Y$3=""),"",IF('Mass Ion Calculations'!$D$6="Yes",IF('Mass Ion Calculations'!$D$7="Yes",'Mass Ion Calculations'!$D$18+'AA Exact Masses'!$Q$3-'Mass Ion Calculations'!$C$27-'Mass Ion Calculations'!$C23-'Mass Ion Calculations'!$D$5,'Mass Ion Calculations'!$F$18+'AA Exact Masses'!$Q$3-'Mass Ion Calculations'!$E$27-'Mass Ion Calculations'!$E23-'Mass Ion Calculations'!$D$5),IF('Mass Ion Calculations'!$D$7="Yes", 'Mass Ion Calculations'!$D$15+'AA Exact Masses'!$Q$3-'Mass Ion Calculations'!$C$27-'Mass Ion Calculations'!$C23-'Mass Ion Calculations'!$D$5,'Mass Ion Calculations'!$F$15+'AA Exact Masses'!$Q$3-'Mass Ion Calculations'!$E$27-'Mass Ion Calculations'!$E23-'Mass Ion Calculations'!$D$5)))</f>
        <v/>
      </c>
      <c r="Z22" s="3" t="str">
        <f>IF(OR($B22="",Z$3=""),"",IF('Mass Ion Calculations'!$D$6="Yes",IF('Mass Ion Calculations'!$D$7="Yes",'Mass Ion Calculations'!$D$18+'AA Exact Masses'!$Q$3-'Mass Ion Calculations'!$C$28-'Mass Ion Calculations'!$C23-'Mass Ion Calculations'!$D$5,'Mass Ion Calculations'!$F$18+'AA Exact Masses'!$Q$3-'Mass Ion Calculations'!$E$28-'Mass Ion Calculations'!$E23-'Mass Ion Calculations'!$D$5),IF('Mass Ion Calculations'!$D$7="Yes", 'Mass Ion Calculations'!$D$15+'AA Exact Masses'!$Q$3-'Mass Ion Calculations'!$C$28-'Mass Ion Calculations'!$C23-'Mass Ion Calculations'!$D$5,'Mass Ion Calculations'!$F$15+'AA Exact Masses'!$Q$3-'Mass Ion Calculations'!$E$28-'Mass Ion Calculations'!$E23-'Mass Ion Calculations'!$D$5)))</f>
        <v/>
      </c>
    </row>
    <row r="23" spans="2:26" x14ac:dyDescent="0.25">
      <c r="B23" s="4" t="str">
        <f>IF('Mass Ion Calculations'!B24="","",'Mass Ion Calculations'!B24)</f>
        <v/>
      </c>
      <c r="C23" s="3" t="str">
        <f>IF(OR($B23="",C$3=""),"",IF('Mass Ion Calculations'!$D$6="Yes",IF('Mass Ion Calculations'!$D$7="Yes",'Mass Ion Calculations'!$D$18+'AA Exact Masses'!$Q$3-'Mass Ion Calculations'!$C$5-'Mass Ion Calculations'!$C24-'Mass Ion Calculations'!$D$5,'Mass Ion Calculations'!$F$18+'AA Exact Masses'!$Q$3-'Mass Ion Calculations'!$E$5-'Mass Ion Calculations'!$E24-'Mass Ion Calculations'!$D$5),IF('Mass Ion Calculations'!$D$7="Yes", 'Mass Ion Calculations'!$D$15+'AA Exact Masses'!$Q$3-'Mass Ion Calculations'!$C$5-'Mass Ion Calculations'!$C24-'Mass Ion Calculations'!$D$5,'Mass Ion Calculations'!$F$15+'AA Exact Masses'!$Q$3-'Mass Ion Calculations'!$E$5-'Mass Ion Calculations'!$E24-'Mass Ion Calculations'!$D$5)))</f>
        <v/>
      </c>
      <c r="D23" s="3" t="str">
        <f>IF(OR($B23="",D$3=""),"",IF('Mass Ion Calculations'!$D$6="Yes",IF('Mass Ion Calculations'!$D$7="Yes",'Mass Ion Calculations'!$D$18+'AA Exact Masses'!$Q$3-'Mass Ion Calculations'!$C$6-'Mass Ion Calculations'!$C24-'Mass Ion Calculations'!$D$5,'Mass Ion Calculations'!$F$18+'AA Exact Masses'!$Q$3-'Mass Ion Calculations'!$E$6-'Mass Ion Calculations'!$E24-'Mass Ion Calculations'!$D$5),IF('Mass Ion Calculations'!$D$7="Yes", 'Mass Ion Calculations'!$D$15+'AA Exact Masses'!$Q$3-'Mass Ion Calculations'!$C$6-'Mass Ion Calculations'!$C24-'Mass Ion Calculations'!$D$5,'Mass Ion Calculations'!$F$15+'AA Exact Masses'!$Q$3-'Mass Ion Calculations'!$E$6-'Mass Ion Calculations'!$E24-'Mass Ion Calculations'!$D$5)))</f>
        <v/>
      </c>
      <c r="E23" s="3" t="str">
        <f>IF(OR($B23="",E$3=""),"",IF('Mass Ion Calculations'!$D$6="Yes",IF('Mass Ion Calculations'!$D$7="Yes",'Mass Ion Calculations'!$D$18+'AA Exact Masses'!$Q$3-'Mass Ion Calculations'!$C$7-'Mass Ion Calculations'!$C24-'Mass Ion Calculations'!$D$5,'Mass Ion Calculations'!$F$18+'AA Exact Masses'!$Q$3-'Mass Ion Calculations'!$E$7-'Mass Ion Calculations'!$E24-'Mass Ion Calculations'!$D$5),IF('Mass Ion Calculations'!$D$7="Yes", 'Mass Ion Calculations'!$D$15+'AA Exact Masses'!$Q$3-'Mass Ion Calculations'!$C$7-'Mass Ion Calculations'!$C24-'Mass Ion Calculations'!$D$5,'Mass Ion Calculations'!$F$15+'AA Exact Masses'!$Q$3-'Mass Ion Calculations'!$E$7-'Mass Ion Calculations'!$E24-'Mass Ion Calculations'!$D$5)))</f>
        <v/>
      </c>
      <c r="F23" s="3" t="str">
        <f>IF(OR($B23="",F$3=""),"",IF('Mass Ion Calculations'!$D$6="Yes",IF('Mass Ion Calculations'!$D$7="Yes",'Mass Ion Calculations'!$D$18+'AA Exact Masses'!$Q$3-'Mass Ion Calculations'!$C$8-'Mass Ion Calculations'!$C24-'Mass Ion Calculations'!$D$5,'Mass Ion Calculations'!$F$18+'AA Exact Masses'!$Q$3-'Mass Ion Calculations'!$E$8-'Mass Ion Calculations'!$E24-'Mass Ion Calculations'!$D$5),IF('Mass Ion Calculations'!$D$7="Yes", 'Mass Ion Calculations'!$D$15+'AA Exact Masses'!$Q$3-'Mass Ion Calculations'!$C$8-'Mass Ion Calculations'!$C24-'Mass Ion Calculations'!$D$5,'Mass Ion Calculations'!$F$15+'AA Exact Masses'!$Q$3-'Mass Ion Calculations'!$E$8-'Mass Ion Calculations'!$E24-'Mass Ion Calculations'!$D$5)))</f>
        <v/>
      </c>
      <c r="G23" s="3" t="str">
        <f>IF(OR($B23="",G$3=""),"",IF('Mass Ion Calculations'!$D$6="Yes",IF('Mass Ion Calculations'!$D$7="Yes",'Mass Ion Calculations'!$D$18+'AA Exact Masses'!$Q$3-'Mass Ion Calculations'!$C$9-'Mass Ion Calculations'!$C24-'Mass Ion Calculations'!$D$5,'Mass Ion Calculations'!$F$18+'AA Exact Masses'!$Q$3-'Mass Ion Calculations'!$E$9-'Mass Ion Calculations'!$E24-'Mass Ion Calculations'!$D$5),IF('Mass Ion Calculations'!$D$7="Yes", 'Mass Ion Calculations'!$D$15+'AA Exact Masses'!$Q$3-'Mass Ion Calculations'!$C$9-'Mass Ion Calculations'!$C24-'Mass Ion Calculations'!$D$5,'Mass Ion Calculations'!$F$15+'AA Exact Masses'!$Q$3-'Mass Ion Calculations'!$E$9-'Mass Ion Calculations'!$E24-'Mass Ion Calculations'!$D$5)))</f>
        <v/>
      </c>
      <c r="H23" s="3" t="str">
        <f>IF(OR($B23="",H$3=""),"",IF('Mass Ion Calculations'!$D$6="Yes",IF('Mass Ion Calculations'!$D$7="Yes",'Mass Ion Calculations'!$D$18+'AA Exact Masses'!$Q$3-'Mass Ion Calculations'!$C$10-'Mass Ion Calculations'!$C24-'Mass Ion Calculations'!$D$5,'Mass Ion Calculations'!$F$18+'AA Exact Masses'!$Q$3-'Mass Ion Calculations'!$E$10-'Mass Ion Calculations'!$E24-'Mass Ion Calculations'!$D$5),IF('Mass Ion Calculations'!$D$7="Yes", 'Mass Ion Calculations'!$D$15+'AA Exact Masses'!$Q$3-'Mass Ion Calculations'!$C$10-'Mass Ion Calculations'!$C24-'Mass Ion Calculations'!$D$5,'Mass Ion Calculations'!$F$15+'AA Exact Masses'!$Q$3-'Mass Ion Calculations'!$E$10-'Mass Ion Calculations'!$E24-'Mass Ion Calculations'!$D$5)))</f>
        <v/>
      </c>
      <c r="I23" s="3" t="str">
        <f>IF(OR($B23="",I$3=""),"",IF('Mass Ion Calculations'!$D$6="Yes",IF('Mass Ion Calculations'!$D$7="Yes",'Mass Ion Calculations'!$D$18+'AA Exact Masses'!$Q$3-'Mass Ion Calculations'!$C$11-'Mass Ion Calculations'!$C24-'Mass Ion Calculations'!$D$5,'Mass Ion Calculations'!$F$18+'AA Exact Masses'!$Q$3-'Mass Ion Calculations'!$E$11-'Mass Ion Calculations'!$E24-'Mass Ion Calculations'!$D$5),IF('Mass Ion Calculations'!$D$7="Yes", 'Mass Ion Calculations'!$D$15+'AA Exact Masses'!$Q$3-'Mass Ion Calculations'!$C$11-'Mass Ion Calculations'!$C24-'Mass Ion Calculations'!$D$5,'Mass Ion Calculations'!$F$15+'AA Exact Masses'!$Q$3-'Mass Ion Calculations'!$E$11-'Mass Ion Calculations'!$E24-'Mass Ion Calculations'!$D$5)))</f>
        <v/>
      </c>
      <c r="J23" s="3" t="str">
        <f>IF(OR($B23="",J$3=""),"",IF('Mass Ion Calculations'!$D$6="Yes",IF('Mass Ion Calculations'!$D$7="Yes",'Mass Ion Calculations'!$D$18+'AA Exact Masses'!$Q$3-'Mass Ion Calculations'!$C$12-'Mass Ion Calculations'!$C24-'Mass Ion Calculations'!$D$5,'Mass Ion Calculations'!$F$18+'AA Exact Masses'!$Q$3-'Mass Ion Calculations'!$E$12-'Mass Ion Calculations'!$E24-'Mass Ion Calculations'!$D$5),IF('Mass Ion Calculations'!$D$7="Yes", 'Mass Ion Calculations'!$D$15+'AA Exact Masses'!$Q$3-'Mass Ion Calculations'!$C$12-'Mass Ion Calculations'!$C24-'Mass Ion Calculations'!$D$5,'Mass Ion Calculations'!$F$15+'AA Exact Masses'!$Q$3-'Mass Ion Calculations'!$E$12-'Mass Ion Calculations'!$E24-'Mass Ion Calculations'!$D$5)))</f>
        <v/>
      </c>
      <c r="K23" s="3" t="str">
        <f>IF(OR($B23="",K$3=""),"",IF('Mass Ion Calculations'!$D$6="Yes",IF('Mass Ion Calculations'!$D$7="Yes",'Mass Ion Calculations'!$D$18+'AA Exact Masses'!$Q$3-'Mass Ion Calculations'!$C$13-'Mass Ion Calculations'!$C24-'Mass Ion Calculations'!$D$5,'Mass Ion Calculations'!$F$18+'AA Exact Masses'!$Q$3-'Mass Ion Calculations'!$E$14-'Mass Ion Calculations'!$E24-'Mass Ion Calculations'!$D$5),IF('Mass Ion Calculations'!$D$7="Yes", 'Mass Ion Calculations'!$D$15+'AA Exact Masses'!$Q$3-'Mass Ion Calculations'!$C$13-'Mass Ion Calculations'!$C24-'Mass Ion Calculations'!$D$5,'Mass Ion Calculations'!$F$15+'AA Exact Masses'!$Q$3-'Mass Ion Calculations'!$E$14-'Mass Ion Calculations'!$E24-'Mass Ion Calculations'!$D$5)))</f>
        <v/>
      </c>
      <c r="L23" s="3" t="str">
        <f>IF(OR($B23="",L$3=""),"",IF('Mass Ion Calculations'!$D$6="Yes",IF('Mass Ion Calculations'!$D$7="Yes",'Mass Ion Calculations'!$D$18+'AA Exact Masses'!$Q$3-'Mass Ion Calculations'!$C$14-'Mass Ion Calculations'!$C24-'Mass Ion Calculations'!$D$5,'Mass Ion Calculations'!$F$18+'AA Exact Masses'!$Q$3-'Mass Ion Calculations'!$E$15-'Mass Ion Calculations'!$E24-'Mass Ion Calculations'!$D$5),IF('Mass Ion Calculations'!$D$7="Yes", 'Mass Ion Calculations'!$D$15+'AA Exact Masses'!$Q$3-'Mass Ion Calculations'!$C$14-'Mass Ion Calculations'!$C24-'Mass Ion Calculations'!$D$5,'Mass Ion Calculations'!$F$15+'AA Exact Masses'!$Q$3-'Mass Ion Calculations'!$E$15-'Mass Ion Calculations'!$E24-'Mass Ion Calculations'!$D$5)))</f>
        <v/>
      </c>
      <c r="M23" s="3" t="str">
        <f>IF(OR($B23="",M$3=""),"",IF('Mass Ion Calculations'!$D$6="Yes",IF('Mass Ion Calculations'!$D$7="Yes",'Mass Ion Calculations'!$D$18+'AA Exact Masses'!$Q$3-'Mass Ion Calculations'!$C$15-'Mass Ion Calculations'!$C24-'Mass Ion Calculations'!$D$5,'Mass Ion Calculations'!$F$18+'AA Exact Masses'!$Q$3-'Mass Ion Calculations'!$E$16-'Mass Ion Calculations'!$E24-'Mass Ion Calculations'!$D$5),IF('Mass Ion Calculations'!$D$7="Yes", 'Mass Ion Calculations'!$D$15+'AA Exact Masses'!$Q$3-'Mass Ion Calculations'!$C$15-'Mass Ion Calculations'!$C24-'Mass Ion Calculations'!$D$5,'Mass Ion Calculations'!$F$15+'AA Exact Masses'!$Q$3-'Mass Ion Calculations'!$E$16-'Mass Ion Calculations'!$E24-'Mass Ion Calculations'!$D$5)))</f>
        <v/>
      </c>
      <c r="N23" s="3" t="str">
        <f>IF(OR($B23="",N$3=""),"",IF('Mass Ion Calculations'!$D$6="Yes",IF('Mass Ion Calculations'!$D$7="Yes",'Mass Ion Calculations'!$D$18+'AA Exact Masses'!$Q$3-'Mass Ion Calculations'!$C$16-'Mass Ion Calculations'!$C24-'Mass Ion Calculations'!$D$5,'Mass Ion Calculations'!$F$18+'AA Exact Masses'!$Q$3-'Mass Ion Calculations'!$E$17-'Mass Ion Calculations'!$E24-'Mass Ion Calculations'!$D$5),IF('Mass Ion Calculations'!$D$7="Yes", 'Mass Ion Calculations'!$D$15+'AA Exact Masses'!$Q$3-'Mass Ion Calculations'!$C$16-'Mass Ion Calculations'!$C24-'Mass Ion Calculations'!$D$5,'Mass Ion Calculations'!$F$15+'AA Exact Masses'!$Q$3-'Mass Ion Calculations'!$E$17-'Mass Ion Calculations'!$E24-'Mass Ion Calculations'!$D$5)))</f>
        <v/>
      </c>
      <c r="O23" s="3" t="str">
        <f>IF(OR($B23="",O$3=""),"",IF('Mass Ion Calculations'!$D$6="Yes",IF('Mass Ion Calculations'!$D$7="Yes",'Mass Ion Calculations'!$D$18+'AA Exact Masses'!$Q$3-'Mass Ion Calculations'!$C$17-'Mass Ion Calculations'!$C24-'Mass Ion Calculations'!$D$5,'Mass Ion Calculations'!$F$18+'AA Exact Masses'!$Q$3-'Mass Ion Calculations'!$E$18-'Mass Ion Calculations'!$E24-'Mass Ion Calculations'!$D$5),IF('Mass Ion Calculations'!$D$7="Yes", 'Mass Ion Calculations'!$D$15+'AA Exact Masses'!$Q$3-'Mass Ion Calculations'!$C$17-'Mass Ion Calculations'!$C24-'Mass Ion Calculations'!$D$5,'Mass Ion Calculations'!$F$15+'AA Exact Masses'!$Q$3-'Mass Ion Calculations'!$E$18-'Mass Ion Calculations'!$E24-'Mass Ion Calculations'!$D$5)))</f>
        <v/>
      </c>
      <c r="P23" s="3" t="str">
        <f>IF(OR($B23="",P$3=""),"",IF('Mass Ion Calculations'!$D$6="Yes",IF('Mass Ion Calculations'!$D$7="Yes",'Mass Ion Calculations'!$D$18+'AA Exact Masses'!$Q$3-'Mass Ion Calculations'!$C$18-'Mass Ion Calculations'!$C24-'Mass Ion Calculations'!$D$5,'Mass Ion Calculations'!$F$18+'AA Exact Masses'!$Q$3-'Mass Ion Calculations'!#REF!-'Mass Ion Calculations'!$E24-'Mass Ion Calculations'!$D$5),IF('Mass Ion Calculations'!$D$7="Yes", 'Mass Ion Calculations'!$D$15+'AA Exact Masses'!$Q$3-'Mass Ion Calculations'!$C$18-'Mass Ion Calculations'!$C24-'Mass Ion Calculations'!$D$5,'Mass Ion Calculations'!$F$15+'AA Exact Masses'!$Q$3-'Mass Ion Calculations'!#REF!-'Mass Ion Calculations'!$E24-'Mass Ion Calculations'!$D$5)))</f>
        <v/>
      </c>
      <c r="Q23" s="3" t="str">
        <f>IF(OR($B23="",Q$3=""),"",IF('Mass Ion Calculations'!$D$6="Yes",IF('Mass Ion Calculations'!$D$7="Yes",'Mass Ion Calculations'!$D$18+'AA Exact Masses'!$Q$3-'Mass Ion Calculations'!$C$19-'Mass Ion Calculations'!$C24-'Mass Ion Calculations'!$D$5,'Mass Ion Calculations'!$F$18+'AA Exact Masses'!$Q$3-'Mass Ion Calculations'!$E$19-'Mass Ion Calculations'!$E24-'Mass Ion Calculations'!$D$5),IF('Mass Ion Calculations'!$D$7="Yes", 'Mass Ion Calculations'!$D$15+'AA Exact Masses'!$Q$3-'Mass Ion Calculations'!$C$19-'Mass Ion Calculations'!$C24-'Mass Ion Calculations'!$D$5,'Mass Ion Calculations'!$F$15+'AA Exact Masses'!$Q$3-'Mass Ion Calculations'!$E$19-'Mass Ion Calculations'!$E24-'Mass Ion Calculations'!$D$5)))</f>
        <v/>
      </c>
      <c r="R23" s="3" t="str">
        <f>IF(OR($B23="",R$3=""),"",IF('Mass Ion Calculations'!$D$6="Yes",IF('Mass Ion Calculations'!$D$7="Yes",'Mass Ion Calculations'!$D$18+'AA Exact Masses'!$Q$3-'Mass Ion Calculations'!$C$20-'Mass Ion Calculations'!$C24-'Mass Ion Calculations'!$D$5,'Mass Ion Calculations'!$F$18+'AA Exact Masses'!$Q$3-'Mass Ion Calculations'!$E$20-'Mass Ion Calculations'!$E24-'Mass Ion Calculations'!$D$5),IF('Mass Ion Calculations'!$D$7="Yes", 'Mass Ion Calculations'!$D$15+'AA Exact Masses'!$Q$3-'Mass Ion Calculations'!$C$20-'Mass Ion Calculations'!$C24-'Mass Ion Calculations'!$D$5,'Mass Ion Calculations'!$F$15+'AA Exact Masses'!$Q$3-'Mass Ion Calculations'!$E$20-'Mass Ion Calculations'!$E24-'Mass Ion Calculations'!$D$5)))</f>
        <v/>
      </c>
      <c r="S23" s="3" t="str">
        <f>IF(OR($B23="",S$3=""),"",IF('Mass Ion Calculations'!$D$6="Yes",IF('Mass Ion Calculations'!$D$7="Yes",'Mass Ion Calculations'!$D$18+'AA Exact Masses'!$Q$3-'Mass Ion Calculations'!$C$21-'Mass Ion Calculations'!$C24-'Mass Ion Calculations'!$D$5,'Mass Ion Calculations'!$F$18+'AA Exact Masses'!$Q$3-'Mass Ion Calculations'!$E$21-'Mass Ion Calculations'!$E24-'Mass Ion Calculations'!$D$5),IF('Mass Ion Calculations'!$D$7="Yes", 'Mass Ion Calculations'!$D$15+'AA Exact Masses'!$Q$3-'Mass Ion Calculations'!$C$21-'Mass Ion Calculations'!$C24-'Mass Ion Calculations'!$D$5,'Mass Ion Calculations'!$F$15+'AA Exact Masses'!$Q$3-'Mass Ion Calculations'!$E$21-'Mass Ion Calculations'!$E24-'Mass Ion Calculations'!$D$5)))</f>
        <v/>
      </c>
      <c r="T23" s="3" t="str">
        <f>IF(OR($B23="",T$3=""),"",IF('Mass Ion Calculations'!$D$6="Yes",IF('Mass Ion Calculations'!$D$7="Yes",'Mass Ion Calculations'!$D$18+'AA Exact Masses'!$Q$3-'Mass Ion Calculations'!$C$22-'Mass Ion Calculations'!$C24-'Mass Ion Calculations'!$D$5,'Mass Ion Calculations'!$F$18+'AA Exact Masses'!$Q$3-'Mass Ion Calculations'!$E$22-'Mass Ion Calculations'!$E24-'Mass Ion Calculations'!$D$5),IF('Mass Ion Calculations'!$D$7="Yes", 'Mass Ion Calculations'!$D$15+'AA Exact Masses'!$Q$3-'Mass Ion Calculations'!$C$22-'Mass Ion Calculations'!$C24-'Mass Ion Calculations'!$D$5,'Mass Ion Calculations'!$F$15+'AA Exact Masses'!$Q$3-'Mass Ion Calculations'!$E$22-'Mass Ion Calculations'!$E24-'Mass Ion Calculations'!$D$5)))</f>
        <v/>
      </c>
      <c r="U23" s="3" t="str">
        <f>IF(OR($B23="",U$3=""),"",IF('Mass Ion Calculations'!$D$6="Yes",IF('Mass Ion Calculations'!$D$7="Yes",'Mass Ion Calculations'!$D$18+'AA Exact Masses'!$Q$3-'Mass Ion Calculations'!$C$23-'Mass Ion Calculations'!$C24-'Mass Ion Calculations'!$D$5,'Mass Ion Calculations'!$F$18+'AA Exact Masses'!$Q$3-'Mass Ion Calculations'!$E$23-'Mass Ion Calculations'!$E24-'Mass Ion Calculations'!$D$5),IF('Mass Ion Calculations'!$D$7="Yes", 'Mass Ion Calculations'!$D$15+'AA Exact Masses'!$Q$3-'Mass Ion Calculations'!$C$23-'Mass Ion Calculations'!$C24-'Mass Ion Calculations'!$D$5,'Mass Ion Calculations'!$F$15+'AA Exact Masses'!$Q$3-'Mass Ion Calculations'!$E$23-'Mass Ion Calculations'!$E24-'Mass Ion Calculations'!$D$5)))</f>
        <v/>
      </c>
      <c r="V23" s="3" t="str">
        <f>IF(OR($B23="",V$3=""),"",IF('Mass Ion Calculations'!$D$6="Yes",IF('Mass Ion Calculations'!$D$7="Yes",'Mass Ion Calculations'!$D$18+'AA Exact Masses'!$Q$3-'Mass Ion Calculations'!$C$24-'Mass Ion Calculations'!$C24-'Mass Ion Calculations'!$D$5,'Mass Ion Calculations'!$F$18+'AA Exact Masses'!$Q$3-'Mass Ion Calculations'!$E$24-'Mass Ion Calculations'!$E24-'Mass Ion Calculations'!$D$5),IF('Mass Ion Calculations'!$D$7="Yes", 'Mass Ion Calculations'!$D$15+'AA Exact Masses'!$Q$3-'Mass Ion Calculations'!$C$24-'Mass Ion Calculations'!$C24-'Mass Ion Calculations'!$D$5,'Mass Ion Calculations'!$F$15+'AA Exact Masses'!$Q$3-'Mass Ion Calculations'!$E$24-'Mass Ion Calculations'!$E24-'Mass Ion Calculations'!$D$5)))</f>
        <v/>
      </c>
      <c r="W23" s="3" t="str">
        <f>IF(OR($B23="",W$3=""),"",IF('Mass Ion Calculations'!$D$6="Yes",IF('Mass Ion Calculations'!$D$7="Yes",'Mass Ion Calculations'!$D$18+'AA Exact Masses'!$Q$3-'Mass Ion Calculations'!$C$25-'Mass Ion Calculations'!$C24-'Mass Ion Calculations'!$D$5,'Mass Ion Calculations'!$F$18+'AA Exact Masses'!$Q$3-'Mass Ion Calculations'!$E$25-'Mass Ion Calculations'!$E24-'Mass Ion Calculations'!$D$5),IF('Mass Ion Calculations'!$D$7="Yes", 'Mass Ion Calculations'!$D$15+'AA Exact Masses'!$Q$3-'Mass Ion Calculations'!$C$25-'Mass Ion Calculations'!$C24-'Mass Ion Calculations'!$D$5,'Mass Ion Calculations'!$F$15+'AA Exact Masses'!$Q$3-'Mass Ion Calculations'!$E$25-'Mass Ion Calculations'!$E24-'Mass Ion Calculations'!$D$5)))</f>
        <v/>
      </c>
      <c r="X23" s="3" t="str">
        <f>IF(OR($B23="",X$3=""),"",IF('Mass Ion Calculations'!$D$6="Yes",IF('Mass Ion Calculations'!$D$7="Yes",'Mass Ion Calculations'!$D$18+'AA Exact Masses'!$Q$3-'Mass Ion Calculations'!$C$26-'Mass Ion Calculations'!$C24-'Mass Ion Calculations'!$D$5,'Mass Ion Calculations'!$F$18+'AA Exact Masses'!$Q$3-'Mass Ion Calculations'!$E$26-'Mass Ion Calculations'!$E24-'Mass Ion Calculations'!$D$5),IF('Mass Ion Calculations'!$D$7="Yes", 'Mass Ion Calculations'!$D$15+'AA Exact Masses'!$Q$3-'Mass Ion Calculations'!$C$26-'Mass Ion Calculations'!$C24-'Mass Ion Calculations'!$D$5,'Mass Ion Calculations'!$F$15+'AA Exact Masses'!$Q$3-'Mass Ion Calculations'!$E$26-'Mass Ion Calculations'!$E24-'Mass Ion Calculations'!$D$5)))</f>
        <v/>
      </c>
      <c r="Y23" s="3" t="str">
        <f>IF(OR($B23="",Y$3=""),"",IF('Mass Ion Calculations'!$D$6="Yes",IF('Mass Ion Calculations'!$D$7="Yes",'Mass Ion Calculations'!$D$18+'AA Exact Masses'!$Q$3-'Mass Ion Calculations'!$C$27-'Mass Ion Calculations'!$C24-'Mass Ion Calculations'!$D$5,'Mass Ion Calculations'!$F$18+'AA Exact Masses'!$Q$3-'Mass Ion Calculations'!$E$27-'Mass Ion Calculations'!$E24-'Mass Ion Calculations'!$D$5),IF('Mass Ion Calculations'!$D$7="Yes", 'Mass Ion Calculations'!$D$15+'AA Exact Masses'!$Q$3-'Mass Ion Calculations'!$C$27-'Mass Ion Calculations'!$C24-'Mass Ion Calculations'!$D$5,'Mass Ion Calculations'!$F$15+'AA Exact Masses'!$Q$3-'Mass Ion Calculations'!$E$27-'Mass Ion Calculations'!$E24-'Mass Ion Calculations'!$D$5)))</f>
        <v/>
      </c>
      <c r="Z23" s="3" t="str">
        <f>IF(OR($B23="",Z$3=""),"",IF('Mass Ion Calculations'!$D$6="Yes",IF('Mass Ion Calculations'!$D$7="Yes",'Mass Ion Calculations'!$D$18+'AA Exact Masses'!$Q$3-'Mass Ion Calculations'!$C$28-'Mass Ion Calculations'!$C24-'Mass Ion Calculations'!$D$5,'Mass Ion Calculations'!$F$18+'AA Exact Masses'!$Q$3-'Mass Ion Calculations'!$E$28-'Mass Ion Calculations'!$E24-'Mass Ion Calculations'!$D$5),IF('Mass Ion Calculations'!$D$7="Yes", 'Mass Ion Calculations'!$D$15+'AA Exact Masses'!$Q$3-'Mass Ion Calculations'!$C$28-'Mass Ion Calculations'!$C24-'Mass Ion Calculations'!$D$5,'Mass Ion Calculations'!$F$15+'AA Exact Masses'!$Q$3-'Mass Ion Calculations'!$E$28-'Mass Ion Calculations'!$E24-'Mass Ion Calculations'!$D$5)))</f>
        <v/>
      </c>
    </row>
    <row r="24" spans="2:26" x14ac:dyDescent="0.25">
      <c r="B24" s="4" t="str">
        <f>IF('Mass Ion Calculations'!B25="","",'Mass Ion Calculations'!B25)</f>
        <v/>
      </c>
      <c r="C24" s="3" t="str">
        <f>IF(OR($B24="",C$3=""),"",IF('Mass Ion Calculations'!$D$6="Yes",IF('Mass Ion Calculations'!$D$7="Yes",'Mass Ion Calculations'!$D$18+'AA Exact Masses'!$Q$3-'Mass Ion Calculations'!$C$5-'Mass Ion Calculations'!$C25-'Mass Ion Calculations'!$D$5,'Mass Ion Calculations'!$F$18+'AA Exact Masses'!$Q$3-'Mass Ion Calculations'!$E$5-'Mass Ion Calculations'!$E25-'Mass Ion Calculations'!$D$5),IF('Mass Ion Calculations'!$D$7="Yes", 'Mass Ion Calculations'!$D$15+'AA Exact Masses'!$Q$3-'Mass Ion Calculations'!$C$5-'Mass Ion Calculations'!$C25-'Mass Ion Calculations'!$D$5,'Mass Ion Calculations'!$F$15+'AA Exact Masses'!$Q$3-'Mass Ion Calculations'!$E$5-'Mass Ion Calculations'!$E25-'Mass Ion Calculations'!$D$5)))</f>
        <v/>
      </c>
      <c r="D24" s="3" t="str">
        <f>IF(OR($B24="",D$3=""),"",IF('Mass Ion Calculations'!$D$6="Yes",IF('Mass Ion Calculations'!$D$7="Yes",'Mass Ion Calculations'!$D$18+'AA Exact Masses'!$Q$3-'Mass Ion Calculations'!$C$6-'Mass Ion Calculations'!$C25-'Mass Ion Calculations'!$D$5,'Mass Ion Calculations'!$F$18+'AA Exact Masses'!$Q$3-'Mass Ion Calculations'!$E$6-'Mass Ion Calculations'!$E25-'Mass Ion Calculations'!$D$5),IF('Mass Ion Calculations'!$D$7="Yes", 'Mass Ion Calculations'!$D$15+'AA Exact Masses'!$Q$3-'Mass Ion Calculations'!$C$6-'Mass Ion Calculations'!$C25-'Mass Ion Calculations'!$D$5,'Mass Ion Calculations'!$F$15+'AA Exact Masses'!$Q$3-'Mass Ion Calculations'!$E$6-'Mass Ion Calculations'!$E25-'Mass Ion Calculations'!$D$5)))</f>
        <v/>
      </c>
      <c r="E24" s="3" t="str">
        <f>IF(OR($B24="",E$3=""),"",IF('Mass Ion Calculations'!$D$6="Yes",IF('Mass Ion Calculations'!$D$7="Yes",'Mass Ion Calculations'!$D$18+'AA Exact Masses'!$Q$3-'Mass Ion Calculations'!$C$7-'Mass Ion Calculations'!$C25-'Mass Ion Calculations'!$D$5,'Mass Ion Calculations'!$F$18+'AA Exact Masses'!$Q$3-'Mass Ion Calculations'!$E$7-'Mass Ion Calculations'!$E25-'Mass Ion Calculations'!$D$5),IF('Mass Ion Calculations'!$D$7="Yes", 'Mass Ion Calculations'!$D$15+'AA Exact Masses'!$Q$3-'Mass Ion Calculations'!$C$7-'Mass Ion Calculations'!$C25-'Mass Ion Calculations'!$D$5,'Mass Ion Calculations'!$F$15+'AA Exact Masses'!$Q$3-'Mass Ion Calculations'!$E$7-'Mass Ion Calculations'!$E25-'Mass Ion Calculations'!$D$5)))</f>
        <v/>
      </c>
      <c r="F24" s="3" t="str">
        <f>IF(OR($B24="",F$3=""),"",IF('Mass Ion Calculations'!$D$6="Yes",IF('Mass Ion Calculations'!$D$7="Yes",'Mass Ion Calculations'!$D$18+'AA Exact Masses'!$Q$3-'Mass Ion Calculations'!$C$8-'Mass Ion Calculations'!$C25-'Mass Ion Calculations'!$D$5,'Mass Ion Calculations'!$F$18+'AA Exact Masses'!$Q$3-'Mass Ion Calculations'!$E$8-'Mass Ion Calculations'!$E25-'Mass Ion Calculations'!$D$5),IF('Mass Ion Calculations'!$D$7="Yes", 'Mass Ion Calculations'!$D$15+'AA Exact Masses'!$Q$3-'Mass Ion Calculations'!$C$8-'Mass Ion Calculations'!$C25-'Mass Ion Calculations'!$D$5,'Mass Ion Calculations'!$F$15+'AA Exact Masses'!$Q$3-'Mass Ion Calculations'!$E$8-'Mass Ion Calculations'!$E25-'Mass Ion Calculations'!$D$5)))</f>
        <v/>
      </c>
      <c r="G24" s="3" t="str">
        <f>IF(OR($B24="",G$3=""),"",IF('Mass Ion Calculations'!$D$6="Yes",IF('Mass Ion Calculations'!$D$7="Yes",'Mass Ion Calculations'!$D$18+'AA Exact Masses'!$Q$3-'Mass Ion Calculations'!$C$9-'Mass Ion Calculations'!$C25-'Mass Ion Calculations'!$D$5,'Mass Ion Calculations'!$F$18+'AA Exact Masses'!$Q$3-'Mass Ion Calculations'!$E$9-'Mass Ion Calculations'!$E25-'Mass Ion Calculations'!$D$5),IF('Mass Ion Calculations'!$D$7="Yes", 'Mass Ion Calculations'!$D$15+'AA Exact Masses'!$Q$3-'Mass Ion Calculations'!$C$9-'Mass Ion Calculations'!$C25-'Mass Ion Calculations'!$D$5,'Mass Ion Calculations'!$F$15+'AA Exact Masses'!$Q$3-'Mass Ion Calculations'!$E$9-'Mass Ion Calculations'!$E25-'Mass Ion Calculations'!$D$5)))</f>
        <v/>
      </c>
      <c r="H24" s="3" t="str">
        <f>IF(OR($B24="",H$3=""),"",IF('Mass Ion Calculations'!$D$6="Yes",IF('Mass Ion Calculations'!$D$7="Yes",'Mass Ion Calculations'!$D$18+'AA Exact Masses'!$Q$3-'Mass Ion Calculations'!$C$10-'Mass Ion Calculations'!$C25-'Mass Ion Calculations'!$D$5,'Mass Ion Calculations'!$F$18+'AA Exact Masses'!$Q$3-'Mass Ion Calculations'!$E$10-'Mass Ion Calculations'!$E25-'Mass Ion Calculations'!$D$5),IF('Mass Ion Calculations'!$D$7="Yes", 'Mass Ion Calculations'!$D$15+'AA Exact Masses'!$Q$3-'Mass Ion Calculations'!$C$10-'Mass Ion Calculations'!$C25-'Mass Ion Calculations'!$D$5,'Mass Ion Calculations'!$F$15+'AA Exact Masses'!$Q$3-'Mass Ion Calculations'!$E$10-'Mass Ion Calculations'!$E25-'Mass Ion Calculations'!$D$5)))</f>
        <v/>
      </c>
      <c r="I24" s="3" t="str">
        <f>IF(OR($B24="",I$3=""),"",IF('Mass Ion Calculations'!$D$6="Yes",IF('Mass Ion Calculations'!$D$7="Yes",'Mass Ion Calculations'!$D$18+'AA Exact Masses'!$Q$3-'Mass Ion Calculations'!$C$11-'Mass Ion Calculations'!$C25-'Mass Ion Calculations'!$D$5,'Mass Ion Calculations'!$F$18+'AA Exact Masses'!$Q$3-'Mass Ion Calculations'!$E$11-'Mass Ion Calculations'!$E25-'Mass Ion Calculations'!$D$5),IF('Mass Ion Calculations'!$D$7="Yes", 'Mass Ion Calculations'!$D$15+'AA Exact Masses'!$Q$3-'Mass Ion Calculations'!$C$11-'Mass Ion Calculations'!$C25-'Mass Ion Calculations'!$D$5,'Mass Ion Calculations'!$F$15+'AA Exact Masses'!$Q$3-'Mass Ion Calculations'!$E$11-'Mass Ion Calculations'!$E25-'Mass Ion Calculations'!$D$5)))</f>
        <v/>
      </c>
      <c r="J24" s="3" t="str">
        <f>IF(OR($B24="",J$3=""),"",IF('Mass Ion Calculations'!$D$6="Yes",IF('Mass Ion Calculations'!$D$7="Yes",'Mass Ion Calculations'!$D$18+'AA Exact Masses'!$Q$3-'Mass Ion Calculations'!$C$12-'Mass Ion Calculations'!$C25-'Mass Ion Calculations'!$D$5,'Mass Ion Calculations'!$F$18+'AA Exact Masses'!$Q$3-'Mass Ion Calculations'!$E$12-'Mass Ion Calculations'!$E25-'Mass Ion Calculations'!$D$5),IF('Mass Ion Calculations'!$D$7="Yes", 'Mass Ion Calculations'!$D$15+'AA Exact Masses'!$Q$3-'Mass Ion Calculations'!$C$12-'Mass Ion Calculations'!$C25-'Mass Ion Calculations'!$D$5,'Mass Ion Calculations'!$F$15+'AA Exact Masses'!$Q$3-'Mass Ion Calculations'!$E$12-'Mass Ion Calculations'!$E25-'Mass Ion Calculations'!$D$5)))</f>
        <v/>
      </c>
      <c r="K24" s="3" t="str">
        <f>IF(OR($B24="",K$3=""),"",IF('Mass Ion Calculations'!$D$6="Yes",IF('Mass Ion Calculations'!$D$7="Yes",'Mass Ion Calculations'!$D$18+'AA Exact Masses'!$Q$3-'Mass Ion Calculations'!$C$13-'Mass Ion Calculations'!$C25-'Mass Ion Calculations'!$D$5,'Mass Ion Calculations'!$F$18+'AA Exact Masses'!$Q$3-'Mass Ion Calculations'!$E$14-'Mass Ion Calculations'!$E25-'Mass Ion Calculations'!$D$5),IF('Mass Ion Calculations'!$D$7="Yes", 'Mass Ion Calculations'!$D$15+'AA Exact Masses'!$Q$3-'Mass Ion Calculations'!$C$13-'Mass Ion Calculations'!$C25-'Mass Ion Calculations'!$D$5,'Mass Ion Calculations'!$F$15+'AA Exact Masses'!$Q$3-'Mass Ion Calculations'!$E$14-'Mass Ion Calculations'!$E25-'Mass Ion Calculations'!$D$5)))</f>
        <v/>
      </c>
      <c r="L24" s="3" t="str">
        <f>IF(OR($B24="",L$3=""),"",IF('Mass Ion Calculations'!$D$6="Yes",IF('Mass Ion Calculations'!$D$7="Yes",'Mass Ion Calculations'!$D$18+'AA Exact Masses'!$Q$3-'Mass Ion Calculations'!$C$14-'Mass Ion Calculations'!$C25-'Mass Ion Calculations'!$D$5,'Mass Ion Calculations'!$F$18+'AA Exact Masses'!$Q$3-'Mass Ion Calculations'!$E$15-'Mass Ion Calculations'!$E25-'Mass Ion Calculations'!$D$5),IF('Mass Ion Calculations'!$D$7="Yes", 'Mass Ion Calculations'!$D$15+'AA Exact Masses'!$Q$3-'Mass Ion Calculations'!$C$14-'Mass Ion Calculations'!$C25-'Mass Ion Calculations'!$D$5,'Mass Ion Calculations'!$F$15+'AA Exact Masses'!$Q$3-'Mass Ion Calculations'!$E$15-'Mass Ion Calculations'!$E25-'Mass Ion Calculations'!$D$5)))</f>
        <v/>
      </c>
      <c r="M24" s="3" t="str">
        <f>IF(OR($B24="",M$3=""),"",IF('Mass Ion Calculations'!$D$6="Yes",IF('Mass Ion Calculations'!$D$7="Yes",'Mass Ion Calculations'!$D$18+'AA Exact Masses'!$Q$3-'Mass Ion Calculations'!$C$15-'Mass Ion Calculations'!$C25-'Mass Ion Calculations'!$D$5,'Mass Ion Calculations'!$F$18+'AA Exact Masses'!$Q$3-'Mass Ion Calculations'!$E$16-'Mass Ion Calculations'!$E25-'Mass Ion Calculations'!$D$5),IF('Mass Ion Calculations'!$D$7="Yes", 'Mass Ion Calculations'!$D$15+'AA Exact Masses'!$Q$3-'Mass Ion Calculations'!$C$15-'Mass Ion Calculations'!$C25-'Mass Ion Calculations'!$D$5,'Mass Ion Calculations'!$F$15+'AA Exact Masses'!$Q$3-'Mass Ion Calculations'!$E$16-'Mass Ion Calculations'!$E25-'Mass Ion Calculations'!$D$5)))</f>
        <v/>
      </c>
      <c r="N24" s="3" t="str">
        <f>IF(OR($B24="",N$3=""),"",IF('Mass Ion Calculations'!$D$6="Yes",IF('Mass Ion Calculations'!$D$7="Yes",'Mass Ion Calculations'!$D$18+'AA Exact Masses'!$Q$3-'Mass Ion Calculations'!$C$16-'Mass Ion Calculations'!$C25-'Mass Ion Calculations'!$D$5,'Mass Ion Calculations'!$F$18+'AA Exact Masses'!$Q$3-'Mass Ion Calculations'!$E$17-'Mass Ion Calculations'!$E25-'Mass Ion Calculations'!$D$5),IF('Mass Ion Calculations'!$D$7="Yes", 'Mass Ion Calculations'!$D$15+'AA Exact Masses'!$Q$3-'Mass Ion Calculations'!$C$16-'Mass Ion Calculations'!$C25-'Mass Ion Calculations'!$D$5,'Mass Ion Calculations'!$F$15+'AA Exact Masses'!$Q$3-'Mass Ion Calculations'!$E$17-'Mass Ion Calculations'!$E25-'Mass Ion Calculations'!$D$5)))</f>
        <v/>
      </c>
      <c r="O24" s="3" t="str">
        <f>IF(OR($B24="",O$3=""),"",IF('Mass Ion Calculations'!$D$6="Yes",IF('Mass Ion Calculations'!$D$7="Yes",'Mass Ion Calculations'!$D$18+'AA Exact Masses'!$Q$3-'Mass Ion Calculations'!$C$17-'Mass Ion Calculations'!$C25-'Mass Ion Calculations'!$D$5,'Mass Ion Calculations'!$F$18+'AA Exact Masses'!$Q$3-'Mass Ion Calculations'!$E$18-'Mass Ion Calculations'!$E25-'Mass Ion Calculations'!$D$5),IF('Mass Ion Calculations'!$D$7="Yes", 'Mass Ion Calculations'!$D$15+'AA Exact Masses'!$Q$3-'Mass Ion Calculations'!$C$17-'Mass Ion Calculations'!$C25-'Mass Ion Calculations'!$D$5,'Mass Ion Calculations'!$F$15+'AA Exact Masses'!$Q$3-'Mass Ion Calculations'!$E$18-'Mass Ion Calculations'!$E25-'Mass Ion Calculations'!$D$5)))</f>
        <v/>
      </c>
      <c r="P24" s="3" t="str">
        <f>IF(OR($B24="",P$3=""),"",IF('Mass Ion Calculations'!$D$6="Yes",IF('Mass Ion Calculations'!$D$7="Yes",'Mass Ion Calculations'!$D$18+'AA Exact Masses'!$Q$3-'Mass Ion Calculations'!$C$18-'Mass Ion Calculations'!$C25-'Mass Ion Calculations'!$D$5,'Mass Ion Calculations'!$F$18+'AA Exact Masses'!$Q$3-'Mass Ion Calculations'!#REF!-'Mass Ion Calculations'!$E25-'Mass Ion Calculations'!$D$5),IF('Mass Ion Calculations'!$D$7="Yes", 'Mass Ion Calculations'!$D$15+'AA Exact Masses'!$Q$3-'Mass Ion Calculations'!$C$18-'Mass Ion Calculations'!$C25-'Mass Ion Calculations'!$D$5,'Mass Ion Calculations'!$F$15+'AA Exact Masses'!$Q$3-'Mass Ion Calculations'!#REF!-'Mass Ion Calculations'!$E25-'Mass Ion Calculations'!$D$5)))</f>
        <v/>
      </c>
      <c r="Q24" s="3" t="str">
        <f>IF(OR($B24="",Q$3=""),"",IF('Mass Ion Calculations'!$D$6="Yes",IF('Mass Ion Calculations'!$D$7="Yes",'Mass Ion Calculations'!$D$18+'AA Exact Masses'!$Q$3-'Mass Ion Calculations'!$C$19-'Mass Ion Calculations'!$C25-'Mass Ion Calculations'!$D$5,'Mass Ion Calculations'!$F$18+'AA Exact Masses'!$Q$3-'Mass Ion Calculations'!$E$19-'Mass Ion Calculations'!$E25-'Mass Ion Calculations'!$D$5),IF('Mass Ion Calculations'!$D$7="Yes", 'Mass Ion Calculations'!$D$15+'AA Exact Masses'!$Q$3-'Mass Ion Calculations'!$C$19-'Mass Ion Calculations'!$C25-'Mass Ion Calculations'!$D$5,'Mass Ion Calculations'!$F$15+'AA Exact Masses'!$Q$3-'Mass Ion Calculations'!$E$19-'Mass Ion Calculations'!$E25-'Mass Ion Calculations'!$D$5)))</f>
        <v/>
      </c>
      <c r="R24" s="3" t="str">
        <f>IF(OR($B24="",R$3=""),"",IF('Mass Ion Calculations'!$D$6="Yes",IF('Mass Ion Calculations'!$D$7="Yes",'Mass Ion Calculations'!$D$18+'AA Exact Masses'!$Q$3-'Mass Ion Calculations'!$C$20-'Mass Ion Calculations'!$C25-'Mass Ion Calculations'!$D$5,'Mass Ion Calculations'!$F$18+'AA Exact Masses'!$Q$3-'Mass Ion Calculations'!$E$20-'Mass Ion Calculations'!$E25-'Mass Ion Calculations'!$D$5),IF('Mass Ion Calculations'!$D$7="Yes", 'Mass Ion Calculations'!$D$15+'AA Exact Masses'!$Q$3-'Mass Ion Calculations'!$C$20-'Mass Ion Calculations'!$C25-'Mass Ion Calculations'!$D$5,'Mass Ion Calculations'!$F$15+'AA Exact Masses'!$Q$3-'Mass Ion Calculations'!$E$20-'Mass Ion Calculations'!$E25-'Mass Ion Calculations'!$D$5)))</f>
        <v/>
      </c>
      <c r="S24" s="3" t="str">
        <f>IF(OR($B24="",S$3=""),"",IF('Mass Ion Calculations'!$D$6="Yes",IF('Mass Ion Calculations'!$D$7="Yes",'Mass Ion Calculations'!$D$18+'AA Exact Masses'!$Q$3-'Mass Ion Calculations'!$C$21-'Mass Ion Calculations'!$C25-'Mass Ion Calculations'!$D$5,'Mass Ion Calculations'!$F$18+'AA Exact Masses'!$Q$3-'Mass Ion Calculations'!$E$21-'Mass Ion Calculations'!$E25-'Mass Ion Calculations'!$D$5),IF('Mass Ion Calculations'!$D$7="Yes", 'Mass Ion Calculations'!$D$15+'AA Exact Masses'!$Q$3-'Mass Ion Calculations'!$C$21-'Mass Ion Calculations'!$C25-'Mass Ion Calculations'!$D$5,'Mass Ion Calculations'!$F$15+'AA Exact Masses'!$Q$3-'Mass Ion Calculations'!$E$21-'Mass Ion Calculations'!$E25-'Mass Ion Calculations'!$D$5)))</f>
        <v/>
      </c>
      <c r="T24" s="3" t="str">
        <f>IF(OR($B24="",T$3=""),"",IF('Mass Ion Calculations'!$D$6="Yes",IF('Mass Ion Calculations'!$D$7="Yes",'Mass Ion Calculations'!$D$18+'AA Exact Masses'!$Q$3-'Mass Ion Calculations'!$C$22-'Mass Ion Calculations'!$C25-'Mass Ion Calculations'!$D$5,'Mass Ion Calculations'!$F$18+'AA Exact Masses'!$Q$3-'Mass Ion Calculations'!$E$22-'Mass Ion Calculations'!$E25-'Mass Ion Calculations'!$D$5),IF('Mass Ion Calculations'!$D$7="Yes", 'Mass Ion Calculations'!$D$15+'AA Exact Masses'!$Q$3-'Mass Ion Calculations'!$C$22-'Mass Ion Calculations'!$C25-'Mass Ion Calculations'!$D$5,'Mass Ion Calculations'!$F$15+'AA Exact Masses'!$Q$3-'Mass Ion Calculations'!$E$22-'Mass Ion Calculations'!$E25-'Mass Ion Calculations'!$D$5)))</f>
        <v/>
      </c>
      <c r="U24" s="3" t="str">
        <f>IF(OR($B24="",U$3=""),"",IF('Mass Ion Calculations'!$D$6="Yes",IF('Mass Ion Calculations'!$D$7="Yes",'Mass Ion Calculations'!$D$18+'AA Exact Masses'!$Q$3-'Mass Ion Calculations'!$C$23-'Mass Ion Calculations'!$C25-'Mass Ion Calculations'!$D$5,'Mass Ion Calculations'!$F$18+'AA Exact Masses'!$Q$3-'Mass Ion Calculations'!$E$23-'Mass Ion Calculations'!$E25-'Mass Ion Calculations'!$D$5),IF('Mass Ion Calculations'!$D$7="Yes", 'Mass Ion Calculations'!$D$15+'AA Exact Masses'!$Q$3-'Mass Ion Calculations'!$C$23-'Mass Ion Calculations'!$C25-'Mass Ion Calculations'!$D$5,'Mass Ion Calculations'!$F$15+'AA Exact Masses'!$Q$3-'Mass Ion Calculations'!$E$23-'Mass Ion Calculations'!$E25-'Mass Ion Calculations'!$D$5)))</f>
        <v/>
      </c>
      <c r="V24" s="3" t="str">
        <f>IF(OR($B24="",V$3=""),"",IF('Mass Ion Calculations'!$D$6="Yes",IF('Mass Ion Calculations'!$D$7="Yes",'Mass Ion Calculations'!$D$18+'AA Exact Masses'!$Q$3-'Mass Ion Calculations'!$C$24-'Mass Ion Calculations'!$C25-'Mass Ion Calculations'!$D$5,'Mass Ion Calculations'!$F$18+'AA Exact Masses'!$Q$3-'Mass Ion Calculations'!$E$24-'Mass Ion Calculations'!$E25-'Mass Ion Calculations'!$D$5),IF('Mass Ion Calculations'!$D$7="Yes", 'Mass Ion Calculations'!$D$15+'AA Exact Masses'!$Q$3-'Mass Ion Calculations'!$C$24-'Mass Ion Calculations'!$C25-'Mass Ion Calculations'!$D$5,'Mass Ion Calculations'!$F$15+'AA Exact Masses'!$Q$3-'Mass Ion Calculations'!$E$24-'Mass Ion Calculations'!$E25-'Mass Ion Calculations'!$D$5)))</f>
        <v/>
      </c>
      <c r="W24" s="3" t="str">
        <f>IF(OR($B24="",W$3=""),"",IF('Mass Ion Calculations'!$D$6="Yes",IF('Mass Ion Calculations'!$D$7="Yes",'Mass Ion Calculations'!$D$18+'AA Exact Masses'!$Q$3-'Mass Ion Calculations'!$C$25-'Mass Ion Calculations'!$C25-'Mass Ion Calculations'!$D$5,'Mass Ion Calculations'!$F$18+'AA Exact Masses'!$Q$3-'Mass Ion Calculations'!$E$25-'Mass Ion Calculations'!$E25-'Mass Ion Calculations'!$D$5),IF('Mass Ion Calculations'!$D$7="Yes", 'Mass Ion Calculations'!$D$15+'AA Exact Masses'!$Q$3-'Mass Ion Calculations'!$C$25-'Mass Ion Calculations'!$C25-'Mass Ion Calculations'!$D$5,'Mass Ion Calculations'!$F$15+'AA Exact Masses'!$Q$3-'Mass Ion Calculations'!$E$25-'Mass Ion Calculations'!$E25-'Mass Ion Calculations'!$D$5)))</f>
        <v/>
      </c>
      <c r="X24" s="3" t="str">
        <f>IF(OR($B24="",X$3=""),"",IF('Mass Ion Calculations'!$D$6="Yes",IF('Mass Ion Calculations'!$D$7="Yes",'Mass Ion Calculations'!$D$18+'AA Exact Masses'!$Q$3-'Mass Ion Calculations'!$C$26-'Mass Ion Calculations'!$C25-'Mass Ion Calculations'!$D$5,'Mass Ion Calculations'!$F$18+'AA Exact Masses'!$Q$3-'Mass Ion Calculations'!$E$26-'Mass Ion Calculations'!$E25-'Mass Ion Calculations'!$D$5),IF('Mass Ion Calculations'!$D$7="Yes", 'Mass Ion Calculations'!$D$15+'AA Exact Masses'!$Q$3-'Mass Ion Calculations'!$C$26-'Mass Ion Calculations'!$C25-'Mass Ion Calculations'!$D$5,'Mass Ion Calculations'!$F$15+'AA Exact Masses'!$Q$3-'Mass Ion Calculations'!$E$26-'Mass Ion Calculations'!$E25-'Mass Ion Calculations'!$D$5)))</f>
        <v/>
      </c>
      <c r="Y24" s="3" t="str">
        <f>IF(OR($B24="",Y$3=""),"",IF('Mass Ion Calculations'!$D$6="Yes",IF('Mass Ion Calculations'!$D$7="Yes",'Mass Ion Calculations'!$D$18+'AA Exact Masses'!$Q$3-'Mass Ion Calculations'!$C$27-'Mass Ion Calculations'!$C25-'Mass Ion Calculations'!$D$5,'Mass Ion Calculations'!$F$18+'AA Exact Masses'!$Q$3-'Mass Ion Calculations'!$E$27-'Mass Ion Calculations'!$E25-'Mass Ion Calculations'!$D$5),IF('Mass Ion Calculations'!$D$7="Yes", 'Mass Ion Calculations'!$D$15+'AA Exact Masses'!$Q$3-'Mass Ion Calculations'!$C$27-'Mass Ion Calculations'!$C25-'Mass Ion Calculations'!$D$5,'Mass Ion Calculations'!$F$15+'AA Exact Masses'!$Q$3-'Mass Ion Calculations'!$E$27-'Mass Ion Calculations'!$E25-'Mass Ion Calculations'!$D$5)))</f>
        <v/>
      </c>
      <c r="Z24" s="3" t="str">
        <f>IF(OR($B24="",Z$3=""),"",IF('Mass Ion Calculations'!$D$6="Yes",IF('Mass Ion Calculations'!$D$7="Yes",'Mass Ion Calculations'!$D$18+'AA Exact Masses'!$Q$3-'Mass Ion Calculations'!$C$28-'Mass Ion Calculations'!$C25-'Mass Ion Calculations'!$D$5,'Mass Ion Calculations'!$F$18+'AA Exact Masses'!$Q$3-'Mass Ion Calculations'!$E$28-'Mass Ion Calculations'!$E25-'Mass Ion Calculations'!$D$5),IF('Mass Ion Calculations'!$D$7="Yes", 'Mass Ion Calculations'!$D$15+'AA Exact Masses'!$Q$3-'Mass Ion Calculations'!$C$28-'Mass Ion Calculations'!$C25-'Mass Ion Calculations'!$D$5,'Mass Ion Calculations'!$F$15+'AA Exact Masses'!$Q$3-'Mass Ion Calculations'!$E$28-'Mass Ion Calculations'!$E25-'Mass Ion Calculations'!$D$5)))</f>
        <v/>
      </c>
    </row>
    <row r="25" spans="2:26" x14ac:dyDescent="0.25">
      <c r="B25" s="4" t="str">
        <f>IF('Mass Ion Calculations'!B26="","",'Mass Ion Calculations'!B26)</f>
        <v/>
      </c>
      <c r="C25" s="3" t="str">
        <f>IF(OR($B25="",C$3=""),"",IF('Mass Ion Calculations'!$D$6="Yes",IF('Mass Ion Calculations'!$D$7="Yes",'Mass Ion Calculations'!$D$18+'AA Exact Masses'!$Q$3-'Mass Ion Calculations'!$C$5-'Mass Ion Calculations'!$C26-'Mass Ion Calculations'!$D$5,'Mass Ion Calculations'!$F$18+'AA Exact Masses'!$Q$3-'Mass Ion Calculations'!$E$5-'Mass Ion Calculations'!$E26-'Mass Ion Calculations'!$D$5),IF('Mass Ion Calculations'!$D$7="Yes", 'Mass Ion Calculations'!$D$15+'AA Exact Masses'!$Q$3-'Mass Ion Calculations'!$C$5-'Mass Ion Calculations'!$C26-'Mass Ion Calculations'!$D$5,'Mass Ion Calculations'!$F$15+'AA Exact Masses'!$Q$3-'Mass Ion Calculations'!$E$5-'Mass Ion Calculations'!$E26-'Mass Ion Calculations'!$D$5)))</f>
        <v/>
      </c>
      <c r="D25" s="3" t="str">
        <f>IF(OR($B25="",D$3=""),"",IF('Mass Ion Calculations'!$D$6="Yes",IF('Mass Ion Calculations'!$D$7="Yes",'Mass Ion Calculations'!$D$18+'AA Exact Masses'!$Q$3-'Mass Ion Calculations'!$C$6-'Mass Ion Calculations'!$C26-'Mass Ion Calculations'!$D$5,'Mass Ion Calculations'!$F$18+'AA Exact Masses'!$Q$3-'Mass Ion Calculations'!$E$6-'Mass Ion Calculations'!$E26-'Mass Ion Calculations'!$D$5),IF('Mass Ion Calculations'!$D$7="Yes", 'Mass Ion Calculations'!$D$15+'AA Exact Masses'!$Q$3-'Mass Ion Calculations'!$C$6-'Mass Ion Calculations'!$C26-'Mass Ion Calculations'!$D$5,'Mass Ion Calculations'!$F$15+'AA Exact Masses'!$Q$3-'Mass Ion Calculations'!$E$6-'Mass Ion Calculations'!$E26-'Mass Ion Calculations'!$D$5)))</f>
        <v/>
      </c>
      <c r="E25" s="3" t="str">
        <f>IF(OR($B25="",E$3=""),"",IF('Mass Ion Calculations'!$D$6="Yes",IF('Mass Ion Calculations'!$D$7="Yes",'Mass Ion Calculations'!$D$18+'AA Exact Masses'!$Q$3-'Mass Ion Calculations'!$C$7-'Mass Ion Calculations'!$C26-'Mass Ion Calculations'!$D$5,'Mass Ion Calculations'!$F$18+'AA Exact Masses'!$Q$3-'Mass Ion Calculations'!$E$7-'Mass Ion Calculations'!$E26-'Mass Ion Calculations'!$D$5),IF('Mass Ion Calculations'!$D$7="Yes", 'Mass Ion Calculations'!$D$15+'AA Exact Masses'!$Q$3-'Mass Ion Calculations'!$C$7-'Mass Ion Calculations'!$C26-'Mass Ion Calculations'!$D$5,'Mass Ion Calculations'!$F$15+'AA Exact Masses'!$Q$3-'Mass Ion Calculations'!$E$7-'Mass Ion Calculations'!$E26-'Mass Ion Calculations'!$D$5)))</f>
        <v/>
      </c>
      <c r="F25" s="3" t="str">
        <f>IF(OR($B25="",F$3=""),"",IF('Mass Ion Calculations'!$D$6="Yes",IF('Mass Ion Calculations'!$D$7="Yes",'Mass Ion Calculations'!$D$18+'AA Exact Masses'!$Q$3-'Mass Ion Calculations'!$C$8-'Mass Ion Calculations'!$C26-'Mass Ion Calculations'!$D$5,'Mass Ion Calculations'!$F$18+'AA Exact Masses'!$Q$3-'Mass Ion Calculations'!$E$8-'Mass Ion Calculations'!$E26-'Mass Ion Calculations'!$D$5),IF('Mass Ion Calculations'!$D$7="Yes", 'Mass Ion Calculations'!$D$15+'AA Exact Masses'!$Q$3-'Mass Ion Calculations'!$C$8-'Mass Ion Calculations'!$C26-'Mass Ion Calculations'!$D$5,'Mass Ion Calculations'!$F$15+'AA Exact Masses'!$Q$3-'Mass Ion Calculations'!$E$8-'Mass Ion Calculations'!$E26-'Mass Ion Calculations'!$D$5)))</f>
        <v/>
      </c>
      <c r="G25" s="3" t="str">
        <f>IF(OR($B25="",G$3=""),"",IF('Mass Ion Calculations'!$D$6="Yes",IF('Mass Ion Calculations'!$D$7="Yes",'Mass Ion Calculations'!$D$18+'AA Exact Masses'!$Q$3-'Mass Ion Calculations'!$C$9-'Mass Ion Calculations'!$C26-'Mass Ion Calculations'!$D$5,'Mass Ion Calculations'!$F$18+'AA Exact Masses'!$Q$3-'Mass Ion Calculations'!$E$9-'Mass Ion Calculations'!$E26-'Mass Ion Calculations'!$D$5),IF('Mass Ion Calculations'!$D$7="Yes", 'Mass Ion Calculations'!$D$15+'AA Exact Masses'!$Q$3-'Mass Ion Calculations'!$C$9-'Mass Ion Calculations'!$C26-'Mass Ion Calculations'!$D$5,'Mass Ion Calculations'!$F$15+'AA Exact Masses'!$Q$3-'Mass Ion Calculations'!$E$9-'Mass Ion Calculations'!$E26-'Mass Ion Calculations'!$D$5)))</f>
        <v/>
      </c>
      <c r="H25" s="3" t="str">
        <f>IF(OR($B25="",H$3=""),"",IF('Mass Ion Calculations'!$D$6="Yes",IF('Mass Ion Calculations'!$D$7="Yes",'Mass Ion Calculations'!$D$18+'AA Exact Masses'!$Q$3-'Mass Ion Calculations'!$C$10-'Mass Ion Calculations'!$C26-'Mass Ion Calculations'!$D$5,'Mass Ion Calculations'!$F$18+'AA Exact Masses'!$Q$3-'Mass Ion Calculations'!$E$10-'Mass Ion Calculations'!$E26-'Mass Ion Calculations'!$D$5),IF('Mass Ion Calculations'!$D$7="Yes", 'Mass Ion Calculations'!$D$15+'AA Exact Masses'!$Q$3-'Mass Ion Calculations'!$C$10-'Mass Ion Calculations'!$C26-'Mass Ion Calculations'!$D$5,'Mass Ion Calculations'!$F$15+'AA Exact Masses'!$Q$3-'Mass Ion Calculations'!$E$10-'Mass Ion Calculations'!$E26-'Mass Ion Calculations'!$D$5)))</f>
        <v/>
      </c>
      <c r="I25" s="3" t="str">
        <f>IF(OR($B25="",I$3=""),"",IF('Mass Ion Calculations'!$D$6="Yes",IF('Mass Ion Calculations'!$D$7="Yes",'Mass Ion Calculations'!$D$18+'AA Exact Masses'!$Q$3-'Mass Ion Calculations'!$C$11-'Mass Ion Calculations'!$C26-'Mass Ion Calculations'!$D$5,'Mass Ion Calculations'!$F$18+'AA Exact Masses'!$Q$3-'Mass Ion Calculations'!$E$11-'Mass Ion Calculations'!$E26-'Mass Ion Calculations'!$D$5),IF('Mass Ion Calculations'!$D$7="Yes", 'Mass Ion Calculations'!$D$15+'AA Exact Masses'!$Q$3-'Mass Ion Calculations'!$C$11-'Mass Ion Calculations'!$C26-'Mass Ion Calculations'!$D$5,'Mass Ion Calculations'!$F$15+'AA Exact Masses'!$Q$3-'Mass Ion Calculations'!$E$11-'Mass Ion Calculations'!$E26-'Mass Ion Calculations'!$D$5)))</f>
        <v/>
      </c>
      <c r="J25" s="3" t="str">
        <f>IF(OR($B25="",J$3=""),"",IF('Mass Ion Calculations'!$D$6="Yes",IF('Mass Ion Calculations'!$D$7="Yes",'Mass Ion Calculations'!$D$18+'AA Exact Masses'!$Q$3-'Mass Ion Calculations'!$C$12-'Mass Ion Calculations'!$C26-'Mass Ion Calculations'!$D$5,'Mass Ion Calculations'!$F$18+'AA Exact Masses'!$Q$3-'Mass Ion Calculations'!$E$12-'Mass Ion Calculations'!$E26-'Mass Ion Calculations'!$D$5),IF('Mass Ion Calculations'!$D$7="Yes", 'Mass Ion Calculations'!$D$15+'AA Exact Masses'!$Q$3-'Mass Ion Calculations'!$C$12-'Mass Ion Calculations'!$C26-'Mass Ion Calculations'!$D$5,'Mass Ion Calculations'!$F$15+'AA Exact Masses'!$Q$3-'Mass Ion Calculations'!$E$12-'Mass Ion Calculations'!$E26-'Mass Ion Calculations'!$D$5)))</f>
        <v/>
      </c>
      <c r="K25" s="3" t="str">
        <f>IF(OR($B25="",K$3=""),"",IF('Mass Ion Calculations'!$D$6="Yes",IF('Mass Ion Calculations'!$D$7="Yes",'Mass Ion Calculations'!$D$18+'AA Exact Masses'!$Q$3-'Mass Ion Calculations'!$C$13-'Mass Ion Calculations'!$C26-'Mass Ion Calculations'!$D$5,'Mass Ion Calculations'!$F$18+'AA Exact Masses'!$Q$3-'Mass Ion Calculations'!$E$14-'Mass Ion Calculations'!$E26-'Mass Ion Calculations'!$D$5),IF('Mass Ion Calculations'!$D$7="Yes", 'Mass Ion Calculations'!$D$15+'AA Exact Masses'!$Q$3-'Mass Ion Calculations'!$C$13-'Mass Ion Calculations'!$C26-'Mass Ion Calculations'!$D$5,'Mass Ion Calculations'!$F$15+'AA Exact Masses'!$Q$3-'Mass Ion Calculations'!$E$14-'Mass Ion Calculations'!$E26-'Mass Ion Calculations'!$D$5)))</f>
        <v/>
      </c>
      <c r="L25" s="3" t="str">
        <f>IF(OR($B25="",L$3=""),"",IF('Mass Ion Calculations'!$D$6="Yes",IF('Mass Ion Calculations'!$D$7="Yes",'Mass Ion Calculations'!$D$18+'AA Exact Masses'!$Q$3-'Mass Ion Calculations'!$C$14-'Mass Ion Calculations'!$C26-'Mass Ion Calculations'!$D$5,'Mass Ion Calculations'!$F$18+'AA Exact Masses'!$Q$3-'Mass Ion Calculations'!$E$15-'Mass Ion Calculations'!$E26-'Mass Ion Calculations'!$D$5),IF('Mass Ion Calculations'!$D$7="Yes", 'Mass Ion Calculations'!$D$15+'AA Exact Masses'!$Q$3-'Mass Ion Calculations'!$C$14-'Mass Ion Calculations'!$C26-'Mass Ion Calculations'!$D$5,'Mass Ion Calculations'!$F$15+'AA Exact Masses'!$Q$3-'Mass Ion Calculations'!$E$15-'Mass Ion Calculations'!$E26-'Mass Ion Calculations'!$D$5)))</f>
        <v/>
      </c>
      <c r="M25" s="3" t="str">
        <f>IF(OR($B25="",M$3=""),"",IF('Mass Ion Calculations'!$D$6="Yes",IF('Mass Ion Calculations'!$D$7="Yes",'Mass Ion Calculations'!$D$18+'AA Exact Masses'!$Q$3-'Mass Ion Calculations'!$C$15-'Mass Ion Calculations'!$C26-'Mass Ion Calculations'!$D$5,'Mass Ion Calculations'!$F$18+'AA Exact Masses'!$Q$3-'Mass Ion Calculations'!$E$16-'Mass Ion Calculations'!$E26-'Mass Ion Calculations'!$D$5),IF('Mass Ion Calculations'!$D$7="Yes", 'Mass Ion Calculations'!$D$15+'AA Exact Masses'!$Q$3-'Mass Ion Calculations'!$C$15-'Mass Ion Calculations'!$C26-'Mass Ion Calculations'!$D$5,'Mass Ion Calculations'!$F$15+'AA Exact Masses'!$Q$3-'Mass Ion Calculations'!$E$16-'Mass Ion Calculations'!$E26-'Mass Ion Calculations'!$D$5)))</f>
        <v/>
      </c>
      <c r="N25" s="3" t="str">
        <f>IF(OR($B25="",N$3=""),"",IF('Mass Ion Calculations'!$D$6="Yes",IF('Mass Ion Calculations'!$D$7="Yes",'Mass Ion Calculations'!$D$18+'AA Exact Masses'!$Q$3-'Mass Ion Calculations'!$C$16-'Mass Ion Calculations'!$C26-'Mass Ion Calculations'!$D$5,'Mass Ion Calculations'!$F$18+'AA Exact Masses'!$Q$3-'Mass Ion Calculations'!$E$17-'Mass Ion Calculations'!$E26-'Mass Ion Calculations'!$D$5),IF('Mass Ion Calculations'!$D$7="Yes", 'Mass Ion Calculations'!$D$15+'AA Exact Masses'!$Q$3-'Mass Ion Calculations'!$C$16-'Mass Ion Calculations'!$C26-'Mass Ion Calculations'!$D$5,'Mass Ion Calculations'!$F$15+'AA Exact Masses'!$Q$3-'Mass Ion Calculations'!$E$17-'Mass Ion Calculations'!$E26-'Mass Ion Calculations'!$D$5)))</f>
        <v/>
      </c>
      <c r="O25" s="3" t="str">
        <f>IF(OR($B25="",O$3=""),"",IF('Mass Ion Calculations'!$D$6="Yes",IF('Mass Ion Calculations'!$D$7="Yes",'Mass Ion Calculations'!$D$18+'AA Exact Masses'!$Q$3-'Mass Ion Calculations'!$C$17-'Mass Ion Calculations'!$C26-'Mass Ion Calculations'!$D$5,'Mass Ion Calculations'!$F$18+'AA Exact Masses'!$Q$3-'Mass Ion Calculations'!$E$18-'Mass Ion Calculations'!$E26-'Mass Ion Calculations'!$D$5),IF('Mass Ion Calculations'!$D$7="Yes", 'Mass Ion Calculations'!$D$15+'AA Exact Masses'!$Q$3-'Mass Ion Calculations'!$C$17-'Mass Ion Calculations'!$C26-'Mass Ion Calculations'!$D$5,'Mass Ion Calculations'!$F$15+'AA Exact Masses'!$Q$3-'Mass Ion Calculations'!$E$18-'Mass Ion Calculations'!$E26-'Mass Ion Calculations'!$D$5)))</f>
        <v/>
      </c>
      <c r="P25" s="3" t="str">
        <f>IF(OR($B25="",P$3=""),"",IF('Mass Ion Calculations'!$D$6="Yes",IF('Mass Ion Calculations'!$D$7="Yes",'Mass Ion Calculations'!$D$18+'AA Exact Masses'!$Q$3-'Mass Ion Calculations'!$C$18-'Mass Ion Calculations'!$C26-'Mass Ion Calculations'!$D$5,'Mass Ion Calculations'!$F$18+'AA Exact Masses'!$Q$3-'Mass Ion Calculations'!#REF!-'Mass Ion Calculations'!$E26-'Mass Ion Calculations'!$D$5),IF('Mass Ion Calculations'!$D$7="Yes", 'Mass Ion Calculations'!$D$15+'AA Exact Masses'!$Q$3-'Mass Ion Calculations'!$C$18-'Mass Ion Calculations'!$C26-'Mass Ion Calculations'!$D$5,'Mass Ion Calculations'!$F$15+'AA Exact Masses'!$Q$3-'Mass Ion Calculations'!#REF!-'Mass Ion Calculations'!$E26-'Mass Ion Calculations'!$D$5)))</f>
        <v/>
      </c>
      <c r="Q25" s="3" t="str">
        <f>IF(OR($B25="",Q$3=""),"",IF('Mass Ion Calculations'!$D$6="Yes",IF('Mass Ion Calculations'!$D$7="Yes",'Mass Ion Calculations'!$D$18+'AA Exact Masses'!$Q$3-'Mass Ion Calculations'!$C$19-'Mass Ion Calculations'!$C26-'Mass Ion Calculations'!$D$5,'Mass Ion Calculations'!$F$18+'AA Exact Masses'!$Q$3-'Mass Ion Calculations'!$E$19-'Mass Ion Calculations'!$E26-'Mass Ion Calculations'!$D$5),IF('Mass Ion Calculations'!$D$7="Yes", 'Mass Ion Calculations'!$D$15+'AA Exact Masses'!$Q$3-'Mass Ion Calculations'!$C$19-'Mass Ion Calculations'!$C26-'Mass Ion Calculations'!$D$5,'Mass Ion Calculations'!$F$15+'AA Exact Masses'!$Q$3-'Mass Ion Calculations'!$E$19-'Mass Ion Calculations'!$E26-'Mass Ion Calculations'!$D$5)))</f>
        <v/>
      </c>
      <c r="R25" s="3" t="str">
        <f>IF(OR($B25="",R$3=""),"",IF('Mass Ion Calculations'!$D$6="Yes",IF('Mass Ion Calculations'!$D$7="Yes",'Mass Ion Calculations'!$D$18+'AA Exact Masses'!$Q$3-'Mass Ion Calculations'!$C$20-'Mass Ion Calculations'!$C26-'Mass Ion Calculations'!$D$5,'Mass Ion Calculations'!$F$18+'AA Exact Masses'!$Q$3-'Mass Ion Calculations'!$E$20-'Mass Ion Calculations'!$E26-'Mass Ion Calculations'!$D$5),IF('Mass Ion Calculations'!$D$7="Yes", 'Mass Ion Calculations'!$D$15+'AA Exact Masses'!$Q$3-'Mass Ion Calculations'!$C$20-'Mass Ion Calculations'!$C26-'Mass Ion Calculations'!$D$5,'Mass Ion Calculations'!$F$15+'AA Exact Masses'!$Q$3-'Mass Ion Calculations'!$E$20-'Mass Ion Calculations'!$E26-'Mass Ion Calculations'!$D$5)))</f>
        <v/>
      </c>
      <c r="S25" s="3" t="str">
        <f>IF(OR($B25="",S$3=""),"",IF('Mass Ion Calculations'!$D$6="Yes",IF('Mass Ion Calculations'!$D$7="Yes",'Mass Ion Calculations'!$D$18+'AA Exact Masses'!$Q$3-'Mass Ion Calculations'!$C$21-'Mass Ion Calculations'!$C26-'Mass Ion Calculations'!$D$5,'Mass Ion Calculations'!$F$18+'AA Exact Masses'!$Q$3-'Mass Ion Calculations'!$E$21-'Mass Ion Calculations'!$E26-'Mass Ion Calculations'!$D$5),IF('Mass Ion Calculations'!$D$7="Yes", 'Mass Ion Calculations'!$D$15+'AA Exact Masses'!$Q$3-'Mass Ion Calculations'!$C$21-'Mass Ion Calculations'!$C26-'Mass Ion Calculations'!$D$5,'Mass Ion Calculations'!$F$15+'AA Exact Masses'!$Q$3-'Mass Ion Calculations'!$E$21-'Mass Ion Calculations'!$E26-'Mass Ion Calculations'!$D$5)))</f>
        <v/>
      </c>
      <c r="T25" s="3" t="str">
        <f>IF(OR($B25="",T$3=""),"",IF('Mass Ion Calculations'!$D$6="Yes",IF('Mass Ion Calculations'!$D$7="Yes",'Mass Ion Calculations'!$D$18+'AA Exact Masses'!$Q$3-'Mass Ion Calculations'!$C$22-'Mass Ion Calculations'!$C26-'Mass Ion Calculations'!$D$5,'Mass Ion Calculations'!$F$18+'AA Exact Masses'!$Q$3-'Mass Ion Calculations'!$E$22-'Mass Ion Calculations'!$E26-'Mass Ion Calculations'!$D$5),IF('Mass Ion Calculations'!$D$7="Yes", 'Mass Ion Calculations'!$D$15+'AA Exact Masses'!$Q$3-'Mass Ion Calculations'!$C$22-'Mass Ion Calculations'!$C26-'Mass Ion Calculations'!$D$5,'Mass Ion Calculations'!$F$15+'AA Exact Masses'!$Q$3-'Mass Ion Calculations'!$E$22-'Mass Ion Calculations'!$E26-'Mass Ion Calculations'!$D$5)))</f>
        <v/>
      </c>
      <c r="U25" s="3" t="str">
        <f>IF(OR($B25="",U$3=""),"",IF('Mass Ion Calculations'!$D$6="Yes",IF('Mass Ion Calculations'!$D$7="Yes",'Mass Ion Calculations'!$D$18+'AA Exact Masses'!$Q$3-'Mass Ion Calculations'!$C$23-'Mass Ion Calculations'!$C26-'Mass Ion Calculations'!$D$5,'Mass Ion Calculations'!$F$18+'AA Exact Masses'!$Q$3-'Mass Ion Calculations'!$E$23-'Mass Ion Calculations'!$E26-'Mass Ion Calculations'!$D$5),IF('Mass Ion Calculations'!$D$7="Yes", 'Mass Ion Calculations'!$D$15+'AA Exact Masses'!$Q$3-'Mass Ion Calculations'!$C$23-'Mass Ion Calculations'!$C26-'Mass Ion Calculations'!$D$5,'Mass Ion Calculations'!$F$15+'AA Exact Masses'!$Q$3-'Mass Ion Calculations'!$E$23-'Mass Ion Calculations'!$E26-'Mass Ion Calculations'!$D$5)))</f>
        <v/>
      </c>
      <c r="V25" s="3" t="str">
        <f>IF(OR($B25="",V$3=""),"",IF('Mass Ion Calculations'!$D$6="Yes",IF('Mass Ion Calculations'!$D$7="Yes",'Mass Ion Calculations'!$D$18+'AA Exact Masses'!$Q$3-'Mass Ion Calculations'!$C$24-'Mass Ion Calculations'!$C26-'Mass Ion Calculations'!$D$5,'Mass Ion Calculations'!$F$18+'AA Exact Masses'!$Q$3-'Mass Ion Calculations'!$E$24-'Mass Ion Calculations'!$E26-'Mass Ion Calculations'!$D$5),IF('Mass Ion Calculations'!$D$7="Yes", 'Mass Ion Calculations'!$D$15+'AA Exact Masses'!$Q$3-'Mass Ion Calculations'!$C$24-'Mass Ion Calculations'!$C26-'Mass Ion Calculations'!$D$5,'Mass Ion Calculations'!$F$15+'AA Exact Masses'!$Q$3-'Mass Ion Calculations'!$E$24-'Mass Ion Calculations'!$E26-'Mass Ion Calculations'!$D$5)))</f>
        <v/>
      </c>
      <c r="W25" s="3" t="str">
        <f>IF(OR($B25="",W$3=""),"",IF('Mass Ion Calculations'!$D$6="Yes",IF('Mass Ion Calculations'!$D$7="Yes",'Mass Ion Calculations'!$D$18+'AA Exact Masses'!$Q$3-'Mass Ion Calculations'!$C$25-'Mass Ion Calculations'!$C26-'Mass Ion Calculations'!$D$5,'Mass Ion Calculations'!$F$18+'AA Exact Masses'!$Q$3-'Mass Ion Calculations'!$E$25-'Mass Ion Calculations'!$E26-'Mass Ion Calculations'!$D$5),IF('Mass Ion Calculations'!$D$7="Yes", 'Mass Ion Calculations'!$D$15+'AA Exact Masses'!$Q$3-'Mass Ion Calculations'!$C$25-'Mass Ion Calculations'!$C26-'Mass Ion Calculations'!$D$5,'Mass Ion Calculations'!$F$15+'AA Exact Masses'!$Q$3-'Mass Ion Calculations'!$E$25-'Mass Ion Calculations'!$E26-'Mass Ion Calculations'!$D$5)))</f>
        <v/>
      </c>
      <c r="X25" s="3" t="str">
        <f>IF(OR($B25="",X$3=""),"",IF('Mass Ion Calculations'!$D$6="Yes",IF('Mass Ion Calculations'!$D$7="Yes",'Mass Ion Calculations'!$D$18+'AA Exact Masses'!$Q$3-'Mass Ion Calculations'!$C$26-'Mass Ion Calculations'!$C26-'Mass Ion Calculations'!$D$5,'Mass Ion Calculations'!$F$18+'AA Exact Masses'!$Q$3-'Mass Ion Calculations'!$E$26-'Mass Ion Calculations'!$E26-'Mass Ion Calculations'!$D$5),IF('Mass Ion Calculations'!$D$7="Yes", 'Mass Ion Calculations'!$D$15+'AA Exact Masses'!$Q$3-'Mass Ion Calculations'!$C$26-'Mass Ion Calculations'!$C26-'Mass Ion Calculations'!$D$5,'Mass Ion Calculations'!$F$15+'AA Exact Masses'!$Q$3-'Mass Ion Calculations'!$E$26-'Mass Ion Calculations'!$E26-'Mass Ion Calculations'!$D$5)))</f>
        <v/>
      </c>
      <c r="Y25" s="3" t="str">
        <f>IF(OR($B25="",Y$3=""),"",IF('Mass Ion Calculations'!$D$6="Yes",IF('Mass Ion Calculations'!$D$7="Yes",'Mass Ion Calculations'!$D$18+'AA Exact Masses'!$Q$3-'Mass Ion Calculations'!$C$27-'Mass Ion Calculations'!$C26-'Mass Ion Calculations'!$D$5,'Mass Ion Calculations'!$F$18+'AA Exact Masses'!$Q$3-'Mass Ion Calculations'!$E$27-'Mass Ion Calculations'!$E26-'Mass Ion Calculations'!$D$5),IF('Mass Ion Calculations'!$D$7="Yes", 'Mass Ion Calculations'!$D$15+'AA Exact Masses'!$Q$3-'Mass Ion Calculations'!$C$27-'Mass Ion Calculations'!$C26-'Mass Ion Calculations'!$D$5,'Mass Ion Calculations'!$F$15+'AA Exact Masses'!$Q$3-'Mass Ion Calculations'!$E$27-'Mass Ion Calculations'!$E26-'Mass Ion Calculations'!$D$5)))</f>
        <v/>
      </c>
      <c r="Z25" s="3" t="str">
        <f>IF(OR($B25="",Z$3=""),"",IF('Mass Ion Calculations'!$D$6="Yes",IF('Mass Ion Calculations'!$D$7="Yes",'Mass Ion Calculations'!$D$18+'AA Exact Masses'!$Q$3-'Mass Ion Calculations'!$C$28-'Mass Ion Calculations'!$C26-'Mass Ion Calculations'!$D$5,'Mass Ion Calculations'!$F$18+'AA Exact Masses'!$Q$3-'Mass Ion Calculations'!$E$28-'Mass Ion Calculations'!$E26-'Mass Ion Calculations'!$D$5),IF('Mass Ion Calculations'!$D$7="Yes", 'Mass Ion Calculations'!$D$15+'AA Exact Masses'!$Q$3-'Mass Ion Calculations'!$C$28-'Mass Ion Calculations'!$C26-'Mass Ion Calculations'!$D$5,'Mass Ion Calculations'!$F$15+'AA Exact Masses'!$Q$3-'Mass Ion Calculations'!$E$28-'Mass Ion Calculations'!$E26-'Mass Ion Calculations'!$D$5)))</f>
        <v/>
      </c>
    </row>
    <row r="26" spans="2:26" x14ac:dyDescent="0.25">
      <c r="B26" s="4" t="str">
        <f>IF('Mass Ion Calculations'!B27="","",'Mass Ion Calculations'!B27)</f>
        <v/>
      </c>
      <c r="C26" s="3" t="str">
        <f>IF(OR($B26="",C$3=""),"",IF('Mass Ion Calculations'!$D$6="Yes",IF('Mass Ion Calculations'!$D$7="Yes",'Mass Ion Calculations'!$D$18+'AA Exact Masses'!$Q$3-'Mass Ion Calculations'!$C$5-'Mass Ion Calculations'!$C27-'Mass Ion Calculations'!$D$5,'Mass Ion Calculations'!$F$18+'AA Exact Masses'!$Q$3-'Mass Ion Calculations'!$E$5-'Mass Ion Calculations'!$E27-'Mass Ion Calculations'!$D$5),IF('Mass Ion Calculations'!$D$7="Yes", 'Mass Ion Calculations'!$D$15+'AA Exact Masses'!$Q$3-'Mass Ion Calculations'!$C$5-'Mass Ion Calculations'!$C27-'Mass Ion Calculations'!$D$5,'Mass Ion Calculations'!$F$15+'AA Exact Masses'!$Q$3-'Mass Ion Calculations'!$E$5-'Mass Ion Calculations'!$E27-'Mass Ion Calculations'!$D$5)))</f>
        <v/>
      </c>
      <c r="D26" s="3" t="str">
        <f>IF(OR($B26="",D$3=""),"",IF('Mass Ion Calculations'!$D$6="Yes",IF('Mass Ion Calculations'!$D$7="Yes",'Mass Ion Calculations'!$D$18+'AA Exact Masses'!$Q$3-'Mass Ion Calculations'!$C$6-'Mass Ion Calculations'!$C27-'Mass Ion Calculations'!$D$5,'Mass Ion Calculations'!$F$18+'AA Exact Masses'!$Q$3-'Mass Ion Calculations'!$E$6-'Mass Ion Calculations'!$E27-'Mass Ion Calculations'!$D$5),IF('Mass Ion Calculations'!$D$7="Yes", 'Mass Ion Calculations'!$D$15+'AA Exact Masses'!$Q$3-'Mass Ion Calculations'!$C$6-'Mass Ion Calculations'!$C27-'Mass Ion Calculations'!$D$5,'Mass Ion Calculations'!$F$15+'AA Exact Masses'!$Q$3-'Mass Ion Calculations'!$E$6-'Mass Ion Calculations'!$E27-'Mass Ion Calculations'!$D$5)))</f>
        <v/>
      </c>
      <c r="E26" s="3" t="str">
        <f>IF(OR($B26="",E$3=""),"",IF('Mass Ion Calculations'!$D$6="Yes",IF('Mass Ion Calculations'!$D$7="Yes",'Mass Ion Calculations'!$D$18+'AA Exact Masses'!$Q$3-'Mass Ion Calculations'!$C$7-'Mass Ion Calculations'!$C27-'Mass Ion Calculations'!$D$5,'Mass Ion Calculations'!$F$18+'AA Exact Masses'!$Q$3-'Mass Ion Calculations'!$E$7-'Mass Ion Calculations'!$E27-'Mass Ion Calculations'!$D$5),IF('Mass Ion Calculations'!$D$7="Yes", 'Mass Ion Calculations'!$D$15+'AA Exact Masses'!$Q$3-'Mass Ion Calculations'!$C$7-'Mass Ion Calculations'!$C27-'Mass Ion Calculations'!$D$5,'Mass Ion Calculations'!$F$15+'AA Exact Masses'!$Q$3-'Mass Ion Calculations'!$E$7-'Mass Ion Calculations'!$E27-'Mass Ion Calculations'!$D$5)))</f>
        <v/>
      </c>
      <c r="F26" s="3" t="str">
        <f>IF(OR($B26="",F$3=""),"",IF('Mass Ion Calculations'!$D$6="Yes",IF('Mass Ion Calculations'!$D$7="Yes",'Mass Ion Calculations'!$D$18+'AA Exact Masses'!$Q$3-'Mass Ion Calculations'!$C$8-'Mass Ion Calculations'!$C27-'Mass Ion Calculations'!$D$5,'Mass Ion Calculations'!$F$18+'AA Exact Masses'!$Q$3-'Mass Ion Calculations'!$E$8-'Mass Ion Calculations'!$E27-'Mass Ion Calculations'!$D$5),IF('Mass Ion Calculations'!$D$7="Yes", 'Mass Ion Calculations'!$D$15+'AA Exact Masses'!$Q$3-'Mass Ion Calculations'!$C$8-'Mass Ion Calculations'!$C27-'Mass Ion Calculations'!$D$5,'Mass Ion Calculations'!$F$15+'AA Exact Masses'!$Q$3-'Mass Ion Calculations'!$E$8-'Mass Ion Calculations'!$E27-'Mass Ion Calculations'!$D$5)))</f>
        <v/>
      </c>
      <c r="G26" s="3" t="str">
        <f>IF(OR($B26="",G$3=""),"",IF('Mass Ion Calculations'!$D$6="Yes",IF('Mass Ion Calculations'!$D$7="Yes",'Mass Ion Calculations'!$D$18+'AA Exact Masses'!$Q$3-'Mass Ion Calculations'!$C$9-'Mass Ion Calculations'!$C27-'Mass Ion Calculations'!$D$5,'Mass Ion Calculations'!$F$18+'AA Exact Masses'!$Q$3-'Mass Ion Calculations'!$E$9-'Mass Ion Calculations'!$E27-'Mass Ion Calculations'!$D$5),IF('Mass Ion Calculations'!$D$7="Yes", 'Mass Ion Calculations'!$D$15+'AA Exact Masses'!$Q$3-'Mass Ion Calculations'!$C$9-'Mass Ion Calculations'!$C27-'Mass Ion Calculations'!$D$5,'Mass Ion Calculations'!$F$15+'AA Exact Masses'!$Q$3-'Mass Ion Calculations'!$E$9-'Mass Ion Calculations'!$E27-'Mass Ion Calculations'!$D$5)))</f>
        <v/>
      </c>
      <c r="H26" s="3" t="str">
        <f>IF(OR($B26="",H$3=""),"",IF('Mass Ion Calculations'!$D$6="Yes",IF('Mass Ion Calculations'!$D$7="Yes",'Mass Ion Calculations'!$D$18+'AA Exact Masses'!$Q$3-'Mass Ion Calculations'!$C$10-'Mass Ion Calculations'!$C27-'Mass Ion Calculations'!$D$5,'Mass Ion Calculations'!$F$18+'AA Exact Masses'!$Q$3-'Mass Ion Calculations'!$E$10-'Mass Ion Calculations'!$E27-'Mass Ion Calculations'!$D$5),IF('Mass Ion Calculations'!$D$7="Yes", 'Mass Ion Calculations'!$D$15+'AA Exact Masses'!$Q$3-'Mass Ion Calculations'!$C$10-'Mass Ion Calculations'!$C27-'Mass Ion Calculations'!$D$5,'Mass Ion Calculations'!$F$15+'AA Exact Masses'!$Q$3-'Mass Ion Calculations'!$E$10-'Mass Ion Calculations'!$E27-'Mass Ion Calculations'!$D$5)))</f>
        <v/>
      </c>
      <c r="I26" s="3" t="str">
        <f>IF(OR($B26="",I$3=""),"",IF('Mass Ion Calculations'!$D$6="Yes",IF('Mass Ion Calculations'!$D$7="Yes",'Mass Ion Calculations'!$D$18+'AA Exact Masses'!$Q$3-'Mass Ion Calculations'!$C$11-'Mass Ion Calculations'!$C27-'Mass Ion Calculations'!$D$5,'Mass Ion Calculations'!$F$18+'AA Exact Masses'!$Q$3-'Mass Ion Calculations'!$E$11-'Mass Ion Calculations'!$E27-'Mass Ion Calculations'!$D$5),IF('Mass Ion Calculations'!$D$7="Yes", 'Mass Ion Calculations'!$D$15+'AA Exact Masses'!$Q$3-'Mass Ion Calculations'!$C$11-'Mass Ion Calculations'!$C27-'Mass Ion Calculations'!$D$5,'Mass Ion Calculations'!$F$15+'AA Exact Masses'!$Q$3-'Mass Ion Calculations'!$E$11-'Mass Ion Calculations'!$E27-'Mass Ion Calculations'!$D$5)))</f>
        <v/>
      </c>
      <c r="J26" s="3" t="str">
        <f>IF(OR($B26="",J$3=""),"",IF('Mass Ion Calculations'!$D$6="Yes",IF('Mass Ion Calculations'!$D$7="Yes",'Mass Ion Calculations'!$D$18+'AA Exact Masses'!$Q$3-'Mass Ion Calculations'!$C$12-'Mass Ion Calculations'!$C27-'Mass Ion Calculations'!$D$5,'Mass Ion Calculations'!$F$18+'AA Exact Masses'!$Q$3-'Mass Ion Calculations'!$E$12-'Mass Ion Calculations'!$E27-'Mass Ion Calculations'!$D$5),IF('Mass Ion Calculations'!$D$7="Yes", 'Mass Ion Calculations'!$D$15+'AA Exact Masses'!$Q$3-'Mass Ion Calculations'!$C$12-'Mass Ion Calculations'!$C27-'Mass Ion Calculations'!$D$5,'Mass Ion Calculations'!$F$15+'AA Exact Masses'!$Q$3-'Mass Ion Calculations'!$E$12-'Mass Ion Calculations'!$E27-'Mass Ion Calculations'!$D$5)))</f>
        <v/>
      </c>
      <c r="K26" s="3" t="str">
        <f>IF(OR($B26="",K$3=""),"",IF('Mass Ion Calculations'!$D$6="Yes",IF('Mass Ion Calculations'!$D$7="Yes",'Mass Ion Calculations'!$D$18+'AA Exact Masses'!$Q$3-'Mass Ion Calculations'!$C$13-'Mass Ion Calculations'!$C27-'Mass Ion Calculations'!$D$5,'Mass Ion Calculations'!$F$18+'AA Exact Masses'!$Q$3-'Mass Ion Calculations'!$E$14-'Mass Ion Calculations'!$E27-'Mass Ion Calculations'!$D$5),IF('Mass Ion Calculations'!$D$7="Yes", 'Mass Ion Calculations'!$D$15+'AA Exact Masses'!$Q$3-'Mass Ion Calculations'!$C$13-'Mass Ion Calculations'!$C27-'Mass Ion Calculations'!$D$5,'Mass Ion Calculations'!$F$15+'AA Exact Masses'!$Q$3-'Mass Ion Calculations'!$E$14-'Mass Ion Calculations'!$E27-'Mass Ion Calculations'!$D$5)))</f>
        <v/>
      </c>
      <c r="L26" s="3" t="str">
        <f>IF(OR($B26="",L$3=""),"",IF('Mass Ion Calculations'!$D$6="Yes",IF('Mass Ion Calculations'!$D$7="Yes",'Mass Ion Calculations'!$D$18+'AA Exact Masses'!$Q$3-'Mass Ion Calculations'!$C$14-'Mass Ion Calculations'!$C27-'Mass Ion Calculations'!$D$5,'Mass Ion Calculations'!$F$18+'AA Exact Masses'!$Q$3-'Mass Ion Calculations'!$E$15-'Mass Ion Calculations'!$E27-'Mass Ion Calculations'!$D$5),IF('Mass Ion Calculations'!$D$7="Yes", 'Mass Ion Calculations'!$D$15+'AA Exact Masses'!$Q$3-'Mass Ion Calculations'!$C$14-'Mass Ion Calculations'!$C27-'Mass Ion Calculations'!$D$5,'Mass Ion Calculations'!$F$15+'AA Exact Masses'!$Q$3-'Mass Ion Calculations'!$E$15-'Mass Ion Calculations'!$E27-'Mass Ion Calculations'!$D$5)))</f>
        <v/>
      </c>
      <c r="M26" s="3" t="str">
        <f>IF(OR($B26="",M$3=""),"",IF('Mass Ion Calculations'!$D$6="Yes",IF('Mass Ion Calculations'!$D$7="Yes",'Mass Ion Calculations'!$D$18+'AA Exact Masses'!$Q$3-'Mass Ion Calculations'!$C$15-'Mass Ion Calculations'!$C27-'Mass Ion Calculations'!$D$5,'Mass Ion Calculations'!$F$18+'AA Exact Masses'!$Q$3-'Mass Ion Calculations'!$E$16-'Mass Ion Calculations'!$E27-'Mass Ion Calculations'!$D$5),IF('Mass Ion Calculations'!$D$7="Yes", 'Mass Ion Calculations'!$D$15+'AA Exact Masses'!$Q$3-'Mass Ion Calculations'!$C$15-'Mass Ion Calculations'!$C27-'Mass Ion Calculations'!$D$5,'Mass Ion Calculations'!$F$15+'AA Exact Masses'!$Q$3-'Mass Ion Calculations'!$E$16-'Mass Ion Calculations'!$E27-'Mass Ion Calculations'!$D$5)))</f>
        <v/>
      </c>
      <c r="N26" s="3" t="str">
        <f>IF(OR($B26="",N$3=""),"",IF('Mass Ion Calculations'!$D$6="Yes",IF('Mass Ion Calculations'!$D$7="Yes",'Mass Ion Calculations'!$D$18+'AA Exact Masses'!$Q$3-'Mass Ion Calculations'!$C$16-'Mass Ion Calculations'!$C27-'Mass Ion Calculations'!$D$5,'Mass Ion Calculations'!$F$18+'AA Exact Masses'!$Q$3-'Mass Ion Calculations'!$E$17-'Mass Ion Calculations'!$E27-'Mass Ion Calculations'!$D$5),IF('Mass Ion Calculations'!$D$7="Yes", 'Mass Ion Calculations'!$D$15+'AA Exact Masses'!$Q$3-'Mass Ion Calculations'!$C$16-'Mass Ion Calculations'!$C27-'Mass Ion Calculations'!$D$5,'Mass Ion Calculations'!$F$15+'AA Exact Masses'!$Q$3-'Mass Ion Calculations'!$E$17-'Mass Ion Calculations'!$E27-'Mass Ion Calculations'!$D$5)))</f>
        <v/>
      </c>
      <c r="O26" s="3" t="str">
        <f>IF(OR($B26="",O$3=""),"",IF('Mass Ion Calculations'!$D$6="Yes",IF('Mass Ion Calculations'!$D$7="Yes",'Mass Ion Calculations'!$D$18+'AA Exact Masses'!$Q$3-'Mass Ion Calculations'!$C$17-'Mass Ion Calculations'!$C27-'Mass Ion Calculations'!$D$5,'Mass Ion Calculations'!$F$18+'AA Exact Masses'!$Q$3-'Mass Ion Calculations'!$E$18-'Mass Ion Calculations'!$E27-'Mass Ion Calculations'!$D$5),IF('Mass Ion Calculations'!$D$7="Yes", 'Mass Ion Calculations'!$D$15+'AA Exact Masses'!$Q$3-'Mass Ion Calculations'!$C$17-'Mass Ion Calculations'!$C27-'Mass Ion Calculations'!$D$5,'Mass Ion Calculations'!$F$15+'AA Exact Masses'!$Q$3-'Mass Ion Calculations'!$E$18-'Mass Ion Calculations'!$E27-'Mass Ion Calculations'!$D$5)))</f>
        <v/>
      </c>
      <c r="P26" s="3" t="str">
        <f>IF(OR($B26="",P$3=""),"",IF('Mass Ion Calculations'!$D$6="Yes",IF('Mass Ion Calculations'!$D$7="Yes",'Mass Ion Calculations'!$D$18+'AA Exact Masses'!$Q$3-'Mass Ion Calculations'!$C$18-'Mass Ion Calculations'!$C27-'Mass Ion Calculations'!$D$5,'Mass Ion Calculations'!$F$18+'AA Exact Masses'!$Q$3-'Mass Ion Calculations'!#REF!-'Mass Ion Calculations'!$E27-'Mass Ion Calculations'!$D$5),IF('Mass Ion Calculations'!$D$7="Yes", 'Mass Ion Calculations'!$D$15+'AA Exact Masses'!$Q$3-'Mass Ion Calculations'!$C$18-'Mass Ion Calculations'!$C27-'Mass Ion Calculations'!$D$5,'Mass Ion Calculations'!$F$15+'AA Exact Masses'!$Q$3-'Mass Ion Calculations'!#REF!-'Mass Ion Calculations'!$E27-'Mass Ion Calculations'!$D$5)))</f>
        <v/>
      </c>
      <c r="Q26" s="3" t="str">
        <f>IF(OR($B26="",Q$3=""),"",IF('Mass Ion Calculations'!$D$6="Yes",IF('Mass Ion Calculations'!$D$7="Yes",'Mass Ion Calculations'!$D$18+'AA Exact Masses'!$Q$3-'Mass Ion Calculations'!$C$19-'Mass Ion Calculations'!$C27-'Mass Ion Calculations'!$D$5,'Mass Ion Calculations'!$F$18+'AA Exact Masses'!$Q$3-'Mass Ion Calculations'!$E$19-'Mass Ion Calculations'!$E27-'Mass Ion Calculations'!$D$5),IF('Mass Ion Calculations'!$D$7="Yes", 'Mass Ion Calculations'!$D$15+'AA Exact Masses'!$Q$3-'Mass Ion Calculations'!$C$19-'Mass Ion Calculations'!$C27-'Mass Ion Calculations'!$D$5,'Mass Ion Calculations'!$F$15+'AA Exact Masses'!$Q$3-'Mass Ion Calculations'!$E$19-'Mass Ion Calculations'!$E27-'Mass Ion Calculations'!$D$5)))</f>
        <v/>
      </c>
      <c r="R26" s="3" t="str">
        <f>IF(OR($B26="",R$3=""),"",IF('Mass Ion Calculations'!$D$6="Yes",IF('Mass Ion Calculations'!$D$7="Yes",'Mass Ion Calculations'!$D$18+'AA Exact Masses'!$Q$3-'Mass Ion Calculations'!$C$20-'Mass Ion Calculations'!$C27-'Mass Ion Calculations'!$D$5,'Mass Ion Calculations'!$F$18+'AA Exact Masses'!$Q$3-'Mass Ion Calculations'!$E$20-'Mass Ion Calculations'!$E27-'Mass Ion Calculations'!$D$5),IF('Mass Ion Calculations'!$D$7="Yes", 'Mass Ion Calculations'!$D$15+'AA Exact Masses'!$Q$3-'Mass Ion Calculations'!$C$20-'Mass Ion Calculations'!$C27-'Mass Ion Calculations'!$D$5,'Mass Ion Calculations'!$F$15+'AA Exact Masses'!$Q$3-'Mass Ion Calculations'!$E$20-'Mass Ion Calculations'!$E27-'Mass Ion Calculations'!$D$5)))</f>
        <v/>
      </c>
      <c r="S26" s="3" t="str">
        <f>IF(OR($B26="",S$3=""),"",IF('Mass Ion Calculations'!$D$6="Yes",IF('Mass Ion Calculations'!$D$7="Yes",'Mass Ion Calculations'!$D$18+'AA Exact Masses'!$Q$3-'Mass Ion Calculations'!$C$21-'Mass Ion Calculations'!$C27-'Mass Ion Calculations'!$D$5,'Mass Ion Calculations'!$F$18+'AA Exact Masses'!$Q$3-'Mass Ion Calculations'!$E$21-'Mass Ion Calculations'!$E27-'Mass Ion Calculations'!$D$5),IF('Mass Ion Calculations'!$D$7="Yes", 'Mass Ion Calculations'!$D$15+'AA Exact Masses'!$Q$3-'Mass Ion Calculations'!$C$21-'Mass Ion Calculations'!$C27-'Mass Ion Calculations'!$D$5,'Mass Ion Calculations'!$F$15+'AA Exact Masses'!$Q$3-'Mass Ion Calculations'!$E$21-'Mass Ion Calculations'!$E27-'Mass Ion Calculations'!$D$5)))</f>
        <v/>
      </c>
      <c r="T26" s="3" t="str">
        <f>IF(OR($B26="",T$3=""),"",IF('Mass Ion Calculations'!$D$6="Yes",IF('Mass Ion Calculations'!$D$7="Yes",'Mass Ion Calculations'!$D$18+'AA Exact Masses'!$Q$3-'Mass Ion Calculations'!$C$22-'Mass Ion Calculations'!$C27-'Mass Ion Calculations'!$D$5,'Mass Ion Calculations'!$F$18+'AA Exact Masses'!$Q$3-'Mass Ion Calculations'!$E$22-'Mass Ion Calculations'!$E27-'Mass Ion Calculations'!$D$5),IF('Mass Ion Calculations'!$D$7="Yes", 'Mass Ion Calculations'!$D$15+'AA Exact Masses'!$Q$3-'Mass Ion Calculations'!$C$22-'Mass Ion Calculations'!$C27-'Mass Ion Calculations'!$D$5,'Mass Ion Calculations'!$F$15+'AA Exact Masses'!$Q$3-'Mass Ion Calculations'!$E$22-'Mass Ion Calculations'!$E27-'Mass Ion Calculations'!$D$5)))</f>
        <v/>
      </c>
      <c r="U26" s="3" t="str">
        <f>IF(OR($B26="",U$3=""),"",IF('Mass Ion Calculations'!$D$6="Yes",IF('Mass Ion Calculations'!$D$7="Yes",'Mass Ion Calculations'!$D$18+'AA Exact Masses'!$Q$3-'Mass Ion Calculations'!$C$23-'Mass Ion Calculations'!$C27-'Mass Ion Calculations'!$D$5,'Mass Ion Calculations'!$F$18+'AA Exact Masses'!$Q$3-'Mass Ion Calculations'!$E$23-'Mass Ion Calculations'!$E27-'Mass Ion Calculations'!$D$5),IF('Mass Ion Calculations'!$D$7="Yes", 'Mass Ion Calculations'!$D$15+'AA Exact Masses'!$Q$3-'Mass Ion Calculations'!$C$23-'Mass Ion Calculations'!$C27-'Mass Ion Calculations'!$D$5,'Mass Ion Calculations'!$F$15+'AA Exact Masses'!$Q$3-'Mass Ion Calculations'!$E$23-'Mass Ion Calculations'!$E27-'Mass Ion Calculations'!$D$5)))</f>
        <v/>
      </c>
      <c r="V26" s="3" t="str">
        <f>IF(OR($B26="",V$3=""),"",IF('Mass Ion Calculations'!$D$6="Yes",IF('Mass Ion Calculations'!$D$7="Yes",'Mass Ion Calculations'!$D$18+'AA Exact Masses'!$Q$3-'Mass Ion Calculations'!$C$24-'Mass Ion Calculations'!$C27-'Mass Ion Calculations'!$D$5,'Mass Ion Calculations'!$F$18+'AA Exact Masses'!$Q$3-'Mass Ion Calculations'!$E$24-'Mass Ion Calculations'!$E27-'Mass Ion Calculations'!$D$5),IF('Mass Ion Calculations'!$D$7="Yes", 'Mass Ion Calculations'!$D$15+'AA Exact Masses'!$Q$3-'Mass Ion Calculations'!$C$24-'Mass Ion Calculations'!$C27-'Mass Ion Calculations'!$D$5,'Mass Ion Calculations'!$F$15+'AA Exact Masses'!$Q$3-'Mass Ion Calculations'!$E$24-'Mass Ion Calculations'!$E27-'Mass Ion Calculations'!$D$5)))</f>
        <v/>
      </c>
      <c r="W26" s="3" t="str">
        <f>IF(OR($B26="",W$3=""),"",IF('Mass Ion Calculations'!$D$6="Yes",IF('Mass Ion Calculations'!$D$7="Yes",'Mass Ion Calculations'!$D$18+'AA Exact Masses'!$Q$3-'Mass Ion Calculations'!$C$25-'Mass Ion Calculations'!$C27-'Mass Ion Calculations'!$D$5,'Mass Ion Calculations'!$F$18+'AA Exact Masses'!$Q$3-'Mass Ion Calculations'!$E$25-'Mass Ion Calculations'!$E27-'Mass Ion Calculations'!$D$5),IF('Mass Ion Calculations'!$D$7="Yes", 'Mass Ion Calculations'!$D$15+'AA Exact Masses'!$Q$3-'Mass Ion Calculations'!$C$25-'Mass Ion Calculations'!$C27-'Mass Ion Calculations'!$D$5,'Mass Ion Calculations'!$F$15+'AA Exact Masses'!$Q$3-'Mass Ion Calculations'!$E$25-'Mass Ion Calculations'!$E27-'Mass Ion Calculations'!$D$5)))</f>
        <v/>
      </c>
      <c r="X26" s="3" t="str">
        <f>IF(OR($B26="",X$3=""),"",IF('Mass Ion Calculations'!$D$6="Yes",IF('Mass Ion Calculations'!$D$7="Yes",'Mass Ion Calculations'!$D$18+'AA Exact Masses'!$Q$3-'Mass Ion Calculations'!$C$26-'Mass Ion Calculations'!$C27-'Mass Ion Calculations'!$D$5,'Mass Ion Calculations'!$F$18+'AA Exact Masses'!$Q$3-'Mass Ion Calculations'!$E$26-'Mass Ion Calculations'!$E27-'Mass Ion Calculations'!$D$5),IF('Mass Ion Calculations'!$D$7="Yes", 'Mass Ion Calculations'!$D$15+'AA Exact Masses'!$Q$3-'Mass Ion Calculations'!$C$26-'Mass Ion Calculations'!$C27-'Mass Ion Calculations'!$D$5,'Mass Ion Calculations'!$F$15+'AA Exact Masses'!$Q$3-'Mass Ion Calculations'!$E$26-'Mass Ion Calculations'!$E27-'Mass Ion Calculations'!$D$5)))</f>
        <v/>
      </c>
      <c r="Y26" s="3" t="str">
        <f>IF(OR($B26="",Y$3=""),"",IF('Mass Ion Calculations'!$D$6="Yes",IF('Mass Ion Calculations'!$D$7="Yes",'Mass Ion Calculations'!$D$18+'AA Exact Masses'!$Q$3-'Mass Ion Calculations'!$C$27-'Mass Ion Calculations'!$C27-'Mass Ion Calculations'!$D$5,'Mass Ion Calculations'!$F$18+'AA Exact Masses'!$Q$3-'Mass Ion Calculations'!$E$27-'Mass Ion Calculations'!$E27-'Mass Ion Calculations'!$D$5),IF('Mass Ion Calculations'!$D$7="Yes", 'Mass Ion Calculations'!$D$15+'AA Exact Masses'!$Q$3-'Mass Ion Calculations'!$C$27-'Mass Ion Calculations'!$C27-'Mass Ion Calculations'!$D$5,'Mass Ion Calculations'!$F$15+'AA Exact Masses'!$Q$3-'Mass Ion Calculations'!$E$27-'Mass Ion Calculations'!$E27-'Mass Ion Calculations'!$D$5)))</f>
        <v/>
      </c>
      <c r="Z26" s="3" t="str">
        <f>IF(OR($B26="",Z$3=""),"",IF('Mass Ion Calculations'!$D$6="Yes",IF('Mass Ion Calculations'!$D$7="Yes",'Mass Ion Calculations'!$D$18+'AA Exact Masses'!$Q$3-'Mass Ion Calculations'!$C$28-'Mass Ion Calculations'!$C27-'Mass Ion Calculations'!$D$5,'Mass Ion Calculations'!$F$18+'AA Exact Masses'!$Q$3-'Mass Ion Calculations'!$E$28-'Mass Ion Calculations'!$E27-'Mass Ion Calculations'!$D$5),IF('Mass Ion Calculations'!$D$7="Yes", 'Mass Ion Calculations'!$D$15+'AA Exact Masses'!$Q$3-'Mass Ion Calculations'!$C$28-'Mass Ion Calculations'!$C27-'Mass Ion Calculations'!$D$5,'Mass Ion Calculations'!$F$15+'AA Exact Masses'!$Q$3-'Mass Ion Calculations'!$E$28-'Mass Ion Calculations'!$E27-'Mass Ion Calculations'!$D$5)))</f>
        <v/>
      </c>
    </row>
    <row r="27" spans="2:26" x14ac:dyDescent="0.25">
      <c r="B27" s="4" t="str">
        <f>IF('Mass Ion Calculations'!B28="","",'Mass Ion Calculations'!B28)</f>
        <v/>
      </c>
      <c r="C27" s="3" t="str">
        <f>IF(OR($B27="",C$3=""),"",IF('Mass Ion Calculations'!$D$6="Yes",IF('Mass Ion Calculations'!$D$7="Yes",'Mass Ion Calculations'!$D$18+'AA Exact Masses'!$Q$3-'Mass Ion Calculations'!$C$5-'Mass Ion Calculations'!$C28-'Mass Ion Calculations'!$D$5,'Mass Ion Calculations'!$F$18+'AA Exact Masses'!$Q$3-'Mass Ion Calculations'!$E$5-'Mass Ion Calculations'!$E28-'Mass Ion Calculations'!$D$5),IF('Mass Ion Calculations'!$D$7="Yes", 'Mass Ion Calculations'!$D$15+'AA Exact Masses'!$Q$3-'Mass Ion Calculations'!$C$5-'Mass Ion Calculations'!$C28-'Mass Ion Calculations'!$D$5,'Mass Ion Calculations'!$F$15+'AA Exact Masses'!$Q$3-'Mass Ion Calculations'!$E$5-'Mass Ion Calculations'!$E28-'Mass Ion Calculations'!$D$5)))</f>
        <v/>
      </c>
      <c r="D27" s="3" t="str">
        <f>IF(OR($B27="",D$3=""),"",IF('Mass Ion Calculations'!$D$6="Yes",IF('Mass Ion Calculations'!$D$7="Yes",'Mass Ion Calculations'!$D$18+'AA Exact Masses'!$Q$3-'Mass Ion Calculations'!$C$6-'Mass Ion Calculations'!$C28-'Mass Ion Calculations'!$D$5,'Mass Ion Calculations'!$F$18+'AA Exact Masses'!$Q$3-'Mass Ion Calculations'!$E$6-'Mass Ion Calculations'!$E28-'Mass Ion Calculations'!$D$5),IF('Mass Ion Calculations'!$D$7="Yes", 'Mass Ion Calculations'!$D$15+'AA Exact Masses'!$Q$3-'Mass Ion Calculations'!$C$6-'Mass Ion Calculations'!$C28-'Mass Ion Calculations'!$D$5,'Mass Ion Calculations'!$F$15+'AA Exact Masses'!$Q$3-'Mass Ion Calculations'!$E$6-'Mass Ion Calculations'!$E28-'Mass Ion Calculations'!$D$5)))</f>
        <v/>
      </c>
      <c r="E27" s="3" t="str">
        <f>IF(OR($B27="",E$3=""),"",IF('Mass Ion Calculations'!$D$6="Yes",IF('Mass Ion Calculations'!$D$7="Yes",'Mass Ion Calculations'!$D$18+'AA Exact Masses'!$Q$3-'Mass Ion Calculations'!$C$7-'Mass Ion Calculations'!$C28-'Mass Ion Calculations'!$D$5,'Mass Ion Calculations'!$F$18+'AA Exact Masses'!$Q$3-'Mass Ion Calculations'!$E$7-'Mass Ion Calculations'!$E28-'Mass Ion Calculations'!$D$5),IF('Mass Ion Calculations'!$D$7="Yes", 'Mass Ion Calculations'!$D$15+'AA Exact Masses'!$Q$3-'Mass Ion Calculations'!$C$7-'Mass Ion Calculations'!$C28-'Mass Ion Calculations'!$D$5,'Mass Ion Calculations'!$F$15+'AA Exact Masses'!$Q$3-'Mass Ion Calculations'!$E$7-'Mass Ion Calculations'!$E28-'Mass Ion Calculations'!$D$5)))</f>
        <v/>
      </c>
      <c r="F27" s="3" t="str">
        <f>IF(OR($B27="",F$3=""),"",IF('Mass Ion Calculations'!$D$6="Yes",IF('Mass Ion Calculations'!$D$7="Yes",'Mass Ion Calculations'!$D$18+'AA Exact Masses'!$Q$3-'Mass Ion Calculations'!$C$8-'Mass Ion Calculations'!$C28-'Mass Ion Calculations'!$D$5,'Mass Ion Calculations'!$F$18+'AA Exact Masses'!$Q$3-'Mass Ion Calculations'!$E$8-'Mass Ion Calculations'!$E28-'Mass Ion Calculations'!$D$5),IF('Mass Ion Calculations'!$D$7="Yes", 'Mass Ion Calculations'!$D$15+'AA Exact Masses'!$Q$3-'Mass Ion Calculations'!$C$8-'Mass Ion Calculations'!$C28-'Mass Ion Calculations'!$D$5,'Mass Ion Calculations'!$F$15+'AA Exact Masses'!$Q$3-'Mass Ion Calculations'!$E$8-'Mass Ion Calculations'!$E28-'Mass Ion Calculations'!$D$5)))</f>
        <v/>
      </c>
      <c r="G27" s="3" t="str">
        <f>IF(OR($B27="",G$3=""),"",IF('Mass Ion Calculations'!$D$6="Yes",IF('Mass Ion Calculations'!$D$7="Yes",'Mass Ion Calculations'!$D$18+'AA Exact Masses'!$Q$3-'Mass Ion Calculations'!$C$9-'Mass Ion Calculations'!$C28-'Mass Ion Calculations'!$D$5,'Mass Ion Calculations'!$F$18+'AA Exact Masses'!$Q$3-'Mass Ion Calculations'!$E$9-'Mass Ion Calculations'!$E28-'Mass Ion Calculations'!$D$5),IF('Mass Ion Calculations'!$D$7="Yes", 'Mass Ion Calculations'!$D$15+'AA Exact Masses'!$Q$3-'Mass Ion Calculations'!$C$9-'Mass Ion Calculations'!$C28-'Mass Ion Calculations'!$D$5,'Mass Ion Calculations'!$F$15+'AA Exact Masses'!$Q$3-'Mass Ion Calculations'!$E$9-'Mass Ion Calculations'!$E28-'Mass Ion Calculations'!$D$5)))</f>
        <v/>
      </c>
      <c r="H27" s="3" t="str">
        <f>IF(OR($B27="",H$3=""),"",IF('Mass Ion Calculations'!$D$6="Yes",IF('Mass Ion Calculations'!$D$7="Yes",'Mass Ion Calculations'!$D$18+'AA Exact Masses'!$Q$3-'Mass Ion Calculations'!$C$10-'Mass Ion Calculations'!$C28-'Mass Ion Calculations'!$D$5,'Mass Ion Calculations'!$F$18+'AA Exact Masses'!$Q$3-'Mass Ion Calculations'!$E$10-'Mass Ion Calculations'!$E28-'Mass Ion Calculations'!$D$5),IF('Mass Ion Calculations'!$D$7="Yes", 'Mass Ion Calculations'!$D$15+'AA Exact Masses'!$Q$3-'Mass Ion Calculations'!$C$10-'Mass Ion Calculations'!$C28-'Mass Ion Calculations'!$D$5,'Mass Ion Calculations'!$F$15+'AA Exact Masses'!$Q$3-'Mass Ion Calculations'!$E$10-'Mass Ion Calculations'!$E28-'Mass Ion Calculations'!$D$5)))</f>
        <v/>
      </c>
      <c r="I27" s="3" t="str">
        <f>IF(OR($B27="",I$3=""),"",IF('Mass Ion Calculations'!$D$6="Yes",IF('Mass Ion Calculations'!$D$7="Yes",'Mass Ion Calculations'!$D$18+'AA Exact Masses'!$Q$3-'Mass Ion Calculations'!$C$11-'Mass Ion Calculations'!$C28-'Mass Ion Calculations'!$D$5,'Mass Ion Calculations'!$F$18+'AA Exact Masses'!$Q$3-'Mass Ion Calculations'!$E$11-'Mass Ion Calculations'!$E28-'Mass Ion Calculations'!$D$5),IF('Mass Ion Calculations'!$D$7="Yes", 'Mass Ion Calculations'!$D$15+'AA Exact Masses'!$Q$3-'Mass Ion Calculations'!$C$11-'Mass Ion Calculations'!$C28-'Mass Ion Calculations'!$D$5,'Mass Ion Calculations'!$F$15+'AA Exact Masses'!$Q$3-'Mass Ion Calculations'!$E$11-'Mass Ion Calculations'!$E28-'Mass Ion Calculations'!$D$5)))</f>
        <v/>
      </c>
      <c r="J27" s="3" t="str">
        <f>IF(OR($B27="",J$3=""),"",IF('Mass Ion Calculations'!$D$6="Yes",IF('Mass Ion Calculations'!$D$7="Yes",'Mass Ion Calculations'!$D$18+'AA Exact Masses'!$Q$3-'Mass Ion Calculations'!$C$12-'Mass Ion Calculations'!$C28-'Mass Ion Calculations'!$D$5,'Mass Ion Calculations'!$F$18+'AA Exact Masses'!$Q$3-'Mass Ion Calculations'!$E$12-'Mass Ion Calculations'!$E28-'Mass Ion Calculations'!$D$5),IF('Mass Ion Calculations'!$D$7="Yes", 'Mass Ion Calculations'!$D$15+'AA Exact Masses'!$Q$3-'Mass Ion Calculations'!$C$12-'Mass Ion Calculations'!$C28-'Mass Ion Calculations'!$D$5,'Mass Ion Calculations'!$F$15+'AA Exact Masses'!$Q$3-'Mass Ion Calculations'!$E$12-'Mass Ion Calculations'!$E28-'Mass Ion Calculations'!$D$5)))</f>
        <v/>
      </c>
      <c r="K27" s="3" t="str">
        <f>IF(OR($B27="",K$3=""),"",IF('Mass Ion Calculations'!$D$6="Yes",IF('Mass Ion Calculations'!$D$7="Yes",'Mass Ion Calculations'!$D$18+'AA Exact Masses'!$Q$3-'Mass Ion Calculations'!$C$13-'Mass Ion Calculations'!$C28-'Mass Ion Calculations'!$D$5,'Mass Ion Calculations'!$F$18+'AA Exact Masses'!$Q$3-'Mass Ion Calculations'!$E$14-'Mass Ion Calculations'!$E28-'Mass Ion Calculations'!$D$5),IF('Mass Ion Calculations'!$D$7="Yes", 'Mass Ion Calculations'!$D$15+'AA Exact Masses'!$Q$3-'Mass Ion Calculations'!$C$13-'Mass Ion Calculations'!$C28-'Mass Ion Calculations'!$D$5,'Mass Ion Calculations'!$F$15+'AA Exact Masses'!$Q$3-'Mass Ion Calculations'!$E$14-'Mass Ion Calculations'!$E28-'Mass Ion Calculations'!$D$5)))</f>
        <v/>
      </c>
      <c r="L27" s="3" t="str">
        <f>IF(OR($B27="",L$3=""),"",IF('Mass Ion Calculations'!$D$6="Yes",IF('Mass Ion Calculations'!$D$7="Yes",'Mass Ion Calculations'!$D$18+'AA Exact Masses'!$Q$3-'Mass Ion Calculations'!$C$14-'Mass Ion Calculations'!$C28-'Mass Ion Calculations'!$D$5,'Mass Ion Calculations'!$F$18+'AA Exact Masses'!$Q$3-'Mass Ion Calculations'!$E$15-'Mass Ion Calculations'!$E28-'Mass Ion Calculations'!$D$5),IF('Mass Ion Calculations'!$D$7="Yes", 'Mass Ion Calculations'!$D$15+'AA Exact Masses'!$Q$3-'Mass Ion Calculations'!$C$14-'Mass Ion Calculations'!$C28-'Mass Ion Calculations'!$D$5,'Mass Ion Calculations'!$F$15+'AA Exact Masses'!$Q$3-'Mass Ion Calculations'!$E$15-'Mass Ion Calculations'!$E28-'Mass Ion Calculations'!$D$5)))</f>
        <v/>
      </c>
      <c r="M27" s="3" t="str">
        <f>IF(OR($B27="",M$3=""),"",IF('Mass Ion Calculations'!$D$6="Yes",IF('Mass Ion Calculations'!$D$7="Yes",'Mass Ion Calculations'!$D$18+'AA Exact Masses'!$Q$3-'Mass Ion Calculations'!$C$15-'Mass Ion Calculations'!$C28-'Mass Ion Calculations'!$D$5,'Mass Ion Calculations'!$F$18+'AA Exact Masses'!$Q$3-'Mass Ion Calculations'!$E$16-'Mass Ion Calculations'!$E28-'Mass Ion Calculations'!$D$5),IF('Mass Ion Calculations'!$D$7="Yes", 'Mass Ion Calculations'!$D$15+'AA Exact Masses'!$Q$3-'Mass Ion Calculations'!$C$15-'Mass Ion Calculations'!$C28-'Mass Ion Calculations'!$D$5,'Mass Ion Calculations'!$F$15+'AA Exact Masses'!$Q$3-'Mass Ion Calculations'!$E$16-'Mass Ion Calculations'!$E28-'Mass Ion Calculations'!$D$5)))</f>
        <v/>
      </c>
      <c r="N27" s="3" t="str">
        <f>IF(OR($B27="",N$3=""),"",IF('Mass Ion Calculations'!$D$6="Yes",IF('Mass Ion Calculations'!$D$7="Yes",'Mass Ion Calculations'!$D$18+'AA Exact Masses'!$Q$3-'Mass Ion Calculations'!$C$16-'Mass Ion Calculations'!$C28-'Mass Ion Calculations'!$D$5,'Mass Ion Calculations'!$F$18+'AA Exact Masses'!$Q$3-'Mass Ion Calculations'!$E$17-'Mass Ion Calculations'!$E28-'Mass Ion Calculations'!$D$5),IF('Mass Ion Calculations'!$D$7="Yes", 'Mass Ion Calculations'!$D$15+'AA Exact Masses'!$Q$3-'Mass Ion Calculations'!$C$16-'Mass Ion Calculations'!$C28-'Mass Ion Calculations'!$D$5,'Mass Ion Calculations'!$F$15+'AA Exact Masses'!$Q$3-'Mass Ion Calculations'!$E$17-'Mass Ion Calculations'!$E28-'Mass Ion Calculations'!$D$5)))</f>
        <v/>
      </c>
      <c r="O27" s="3" t="str">
        <f>IF(OR($B27="",O$3=""),"",IF('Mass Ion Calculations'!$D$6="Yes",IF('Mass Ion Calculations'!$D$7="Yes",'Mass Ion Calculations'!$D$18+'AA Exact Masses'!$Q$3-'Mass Ion Calculations'!$C$17-'Mass Ion Calculations'!$C28-'Mass Ion Calculations'!$D$5,'Mass Ion Calculations'!$F$18+'AA Exact Masses'!$Q$3-'Mass Ion Calculations'!$E$18-'Mass Ion Calculations'!$E28-'Mass Ion Calculations'!$D$5),IF('Mass Ion Calculations'!$D$7="Yes", 'Mass Ion Calculations'!$D$15+'AA Exact Masses'!$Q$3-'Mass Ion Calculations'!$C$17-'Mass Ion Calculations'!$C28-'Mass Ion Calculations'!$D$5,'Mass Ion Calculations'!$F$15+'AA Exact Masses'!$Q$3-'Mass Ion Calculations'!$E$18-'Mass Ion Calculations'!$E28-'Mass Ion Calculations'!$D$5)))</f>
        <v/>
      </c>
      <c r="P27" s="3" t="str">
        <f>IF(OR($B27="",P$3=""),"",IF('Mass Ion Calculations'!$D$6="Yes",IF('Mass Ion Calculations'!$D$7="Yes",'Mass Ion Calculations'!$D$18+'AA Exact Masses'!$Q$3-'Mass Ion Calculations'!$C$18-'Mass Ion Calculations'!$C28-'Mass Ion Calculations'!$D$5,'Mass Ion Calculations'!$F$18+'AA Exact Masses'!$Q$3-'Mass Ion Calculations'!#REF!-'Mass Ion Calculations'!$E28-'Mass Ion Calculations'!$D$5),IF('Mass Ion Calculations'!$D$7="Yes", 'Mass Ion Calculations'!$D$15+'AA Exact Masses'!$Q$3-'Mass Ion Calculations'!$C$18-'Mass Ion Calculations'!$C28-'Mass Ion Calculations'!$D$5,'Mass Ion Calculations'!$F$15+'AA Exact Masses'!$Q$3-'Mass Ion Calculations'!#REF!-'Mass Ion Calculations'!$E28-'Mass Ion Calculations'!$D$5)))</f>
        <v/>
      </c>
      <c r="Q27" s="3" t="str">
        <f>IF(OR($B27="",Q$3=""),"",IF('Mass Ion Calculations'!$D$6="Yes",IF('Mass Ion Calculations'!$D$7="Yes",'Mass Ion Calculations'!$D$18+'AA Exact Masses'!$Q$3-'Mass Ion Calculations'!$C$19-'Mass Ion Calculations'!$C28-'Mass Ion Calculations'!$D$5,'Mass Ion Calculations'!$F$18+'AA Exact Masses'!$Q$3-'Mass Ion Calculations'!$E$19-'Mass Ion Calculations'!$E28-'Mass Ion Calculations'!$D$5),IF('Mass Ion Calculations'!$D$7="Yes", 'Mass Ion Calculations'!$D$15+'AA Exact Masses'!$Q$3-'Mass Ion Calculations'!$C$19-'Mass Ion Calculations'!$C28-'Mass Ion Calculations'!$D$5,'Mass Ion Calculations'!$F$15+'AA Exact Masses'!$Q$3-'Mass Ion Calculations'!$E$19-'Mass Ion Calculations'!$E28-'Mass Ion Calculations'!$D$5)))</f>
        <v/>
      </c>
      <c r="R27" s="3" t="str">
        <f>IF(OR($B27="",R$3=""),"",IF('Mass Ion Calculations'!$D$6="Yes",IF('Mass Ion Calculations'!$D$7="Yes",'Mass Ion Calculations'!$D$18+'AA Exact Masses'!$Q$3-'Mass Ion Calculations'!$C$20-'Mass Ion Calculations'!$C28-'Mass Ion Calculations'!$D$5,'Mass Ion Calculations'!$F$18+'AA Exact Masses'!$Q$3-'Mass Ion Calculations'!$E$20-'Mass Ion Calculations'!$E28-'Mass Ion Calculations'!$D$5),IF('Mass Ion Calculations'!$D$7="Yes", 'Mass Ion Calculations'!$D$15+'AA Exact Masses'!$Q$3-'Mass Ion Calculations'!$C$20-'Mass Ion Calculations'!$C28-'Mass Ion Calculations'!$D$5,'Mass Ion Calculations'!$F$15+'AA Exact Masses'!$Q$3-'Mass Ion Calculations'!$E$20-'Mass Ion Calculations'!$E28-'Mass Ion Calculations'!$D$5)))</f>
        <v/>
      </c>
      <c r="S27" s="3" t="str">
        <f>IF(OR($B27="",S$3=""),"",IF('Mass Ion Calculations'!$D$6="Yes",IF('Mass Ion Calculations'!$D$7="Yes",'Mass Ion Calculations'!$D$18+'AA Exact Masses'!$Q$3-'Mass Ion Calculations'!$C$21-'Mass Ion Calculations'!$C28-'Mass Ion Calculations'!$D$5,'Mass Ion Calculations'!$F$18+'AA Exact Masses'!$Q$3-'Mass Ion Calculations'!$E$21-'Mass Ion Calculations'!$E28-'Mass Ion Calculations'!$D$5),IF('Mass Ion Calculations'!$D$7="Yes", 'Mass Ion Calculations'!$D$15+'AA Exact Masses'!$Q$3-'Mass Ion Calculations'!$C$21-'Mass Ion Calculations'!$C28-'Mass Ion Calculations'!$D$5,'Mass Ion Calculations'!$F$15+'AA Exact Masses'!$Q$3-'Mass Ion Calculations'!$E$21-'Mass Ion Calculations'!$E28-'Mass Ion Calculations'!$D$5)))</f>
        <v/>
      </c>
      <c r="T27" s="3" t="str">
        <f>IF(OR($B27="",T$3=""),"",IF('Mass Ion Calculations'!$D$6="Yes",IF('Mass Ion Calculations'!$D$7="Yes",'Mass Ion Calculations'!$D$18+'AA Exact Masses'!$Q$3-'Mass Ion Calculations'!$C$22-'Mass Ion Calculations'!$C28-'Mass Ion Calculations'!$D$5,'Mass Ion Calculations'!$F$18+'AA Exact Masses'!$Q$3-'Mass Ion Calculations'!$E$22-'Mass Ion Calculations'!$E28-'Mass Ion Calculations'!$D$5),IF('Mass Ion Calculations'!$D$7="Yes", 'Mass Ion Calculations'!$D$15+'AA Exact Masses'!$Q$3-'Mass Ion Calculations'!$C$22-'Mass Ion Calculations'!$C28-'Mass Ion Calculations'!$D$5,'Mass Ion Calculations'!$F$15+'AA Exact Masses'!$Q$3-'Mass Ion Calculations'!$E$22-'Mass Ion Calculations'!$E28-'Mass Ion Calculations'!$D$5)))</f>
        <v/>
      </c>
      <c r="U27" s="3" t="str">
        <f>IF(OR($B27="",U$3=""),"",IF('Mass Ion Calculations'!$D$6="Yes",IF('Mass Ion Calculations'!$D$7="Yes",'Mass Ion Calculations'!$D$18+'AA Exact Masses'!$Q$3-'Mass Ion Calculations'!$C$23-'Mass Ion Calculations'!$C28-'Mass Ion Calculations'!$D$5,'Mass Ion Calculations'!$F$18+'AA Exact Masses'!$Q$3-'Mass Ion Calculations'!$E$23-'Mass Ion Calculations'!$E28-'Mass Ion Calculations'!$D$5),IF('Mass Ion Calculations'!$D$7="Yes", 'Mass Ion Calculations'!$D$15+'AA Exact Masses'!$Q$3-'Mass Ion Calculations'!$C$23-'Mass Ion Calculations'!$C28-'Mass Ion Calculations'!$D$5,'Mass Ion Calculations'!$F$15+'AA Exact Masses'!$Q$3-'Mass Ion Calculations'!$E$23-'Mass Ion Calculations'!$E28-'Mass Ion Calculations'!$D$5)))</f>
        <v/>
      </c>
      <c r="V27" s="3" t="str">
        <f>IF(OR($B27="",V$3=""),"",IF('Mass Ion Calculations'!$D$6="Yes",IF('Mass Ion Calculations'!$D$7="Yes",'Mass Ion Calculations'!$D$18+'AA Exact Masses'!$Q$3-'Mass Ion Calculations'!$C$24-'Mass Ion Calculations'!$C28-'Mass Ion Calculations'!$D$5,'Mass Ion Calculations'!$F$18+'AA Exact Masses'!$Q$3-'Mass Ion Calculations'!$E$24-'Mass Ion Calculations'!$E28-'Mass Ion Calculations'!$D$5),IF('Mass Ion Calculations'!$D$7="Yes", 'Mass Ion Calculations'!$D$15+'AA Exact Masses'!$Q$3-'Mass Ion Calculations'!$C$24-'Mass Ion Calculations'!$C28-'Mass Ion Calculations'!$D$5,'Mass Ion Calculations'!$F$15+'AA Exact Masses'!$Q$3-'Mass Ion Calculations'!$E$24-'Mass Ion Calculations'!$E28-'Mass Ion Calculations'!$D$5)))</f>
        <v/>
      </c>
      <c r="W27" s="3" t="str">
        <f>IF(OR($B27="",W$3=""),"",IF('Mass Ion Calculations'!$D$6="Yes",IF('Mass Ion Calculations'!$D$7="Yes",'Mass Ion Calculations'!$D$18+'AA Exact Masses'!$Q$3-'Mass Ion Calculations'!$C$25-'Mass Ion Calculations'!$C28-'Mass Ion Calculations'!$D$5,'Mass Ion Calculations'!$F$18+'AA Exact Masses'!$Q$3-'Mass Ion Calculations'!$E$25-'Mass Ion Calculations'!$E28-'Mass Ion Calculations'!$D$5),IF('Mass Ion Calculations'!$D$7="Yes", 'Mass Ion Calculations'!$D$15+'AA Exact Masses'!$Q$3-'Mass Ion Calculations'!$C$25-'Mass Ion Calculations'!$C28-'Mass Ion Calculations'!$D$5,'Mass Ion Calculations'!$F$15+'AA Exact Masses'!$Q$3-'Mass Ion Calculations'!$E$25-'Mass Ion Calculations'!$E28-'Mass Ion Calculations'!$D$5)))</f>
        <v/>
      </c>
      <c r="X27" s="3" t="str">
        <f>IF(OR($B27="",X$3=""),"",IF('Mass Ion Calculations'!$D$6="Yes",IF('Mass Ion Calculations'!$D$7="Yes",'Mass Ion Calculations'!$D$18+'AA Exact Masses'!$Q$3-'Mass Ion Calculations'!$C$26-'Mass Ion Calculations'!$C28-'Mass Ion Calculations'!$D$5,'Mass Ion Calculations'!$F$18+'AA Exact Masses'!$Q$3-'Mass Ion Calculations'!$E$26-'Mass Ion Calculations'!$E28-'Mass Ion Calculations'!$D$5),IF('Mass Ion Calculations'!$D$7="Yes", 'Mass Ion Calculations'!$D$15+'AA Exact Masses'!$Q$3-'Mass Ion Calculations'!$C$26-'Mass Ion Calculations'!$C28-'Mass Ion Calculations'!$D$5,'Mass Ion Calculations'!$F$15+'AA Exact Masses'!$Q$3-'Mass Ion Calculations'!$E$26-'Mass Ion Calculations'!$E28-'Mass Ion Calculations'!$D$5)))</f>
        <v/>
      </c>
      <c r="Y27" s="3" t="str">
        <f>IF(OR($B27="",Y$3=""),"",IF('Mass Ion Calculations'!$D$6="Yes",IF('Mass Ion Calculations'!$D$7="Yes",'Mass Ion Calculations'!$D$18+'AA Exact Masses'!$Q$3-'Mass Ion Calculations'!$C$27-'Mass Ion Calculations'!$C28-'Mass Ion Calculations'!$D$5,'Mass Ion Calculations'!$F$18+'AA Exact Masses'!$Q$3-'Mass Ion Calculations'!$E$27-'Mass Ion Calculations'!$E28-'Mass Ion Calculations'!$D$5),IF('Mass Ion Calculations'!$D$7="Yes", 'Mass Ion Calculations'!$D$15+'AA Exact Masses'!$Q$3-'Mass Ion Calculations'!$C$27-'Mass Ion Calculations'!$C28-'Mass Ion Calculations'!$D$5,'Mass Ion Calculations'!$F$15+'AA Exact Masses'!$Q$3-'Mass Ion Calculations'!$E$27-'Mass Ion Calculations'!$E28-'Mass Ion Calculations'!$D$5)))</f>
        <v/>
      </c>
      <c r="Z27" s="3" t="str">
        <f>IF(OR($B27="",Z$3=""),"",IF('Mass Ion Calculations'!$D$6="Yes",IF('Mass Ion Calculations'!$D$7="Yes",'Mass Ion Calculations'!$D$18+'AA Exact Masses'!$Q$3-'Mass Ion Calculations'!$C$28-'Mass Ion Calculations'!$C28-'Mass Ion Calculations'!$D$5,'Mass Ion Calculations'!$F$18+'AA Exact Masses'!$Q$3-'Mass Ion Calculations'!$E$28-'Mass Ion Calculations'!$E28-'Mass Ion Calculations'!$D$5),IF('Mass Ion Calculations'!$D$7="Yes", 'Mass Ion Calculations'!$D$15+'AA Exact Masses'!$Q$3-'Mass Ion Calculations'!$C$28-'Mass Ion Calculations'!$C28-'Mass Ion Calculations'!$D$5,'Mass Ion Calculations'!$F$15+'AA Exact Masses'!$Q$3-'Mass Ion Calculations'!$E$28-'Mass Ion Calculations'!$E28-'Mass Ion Calculations'!$D$5)))</f>
        <v/>
      </c>
    </row>
    <row r="28" spans="2:26" x14ac:dyDescent="0.25">
      <c r="B28" s="4" t="str">
        <f>IF('Mass Ion Calculations'!B29="","",'Mass Ion Calculations'!B29)</f>
        <v/>
      </c>
      <c r="C28" s="3" t="str">
        <f>IF(OR($B28="",C$3=""),"",IF('Mass Ion Calculations'!$D$6="Yes",IF('Mass Ion Calculations'!$D$7="Yes",'Mass Ion Calculations'!$D$18+'AA Exact Masses'!$Q$3-'Mass Ion Calculations'!$C$5-'Mass Ion Calculations'!$C29-'Mass Ion Calculations'!$D$5,'Mass Ion Calculations'!$F$18+'AA Exact Masses'!$Q$3-'Mass Ion Calculations'!$E$5-'Mass Ion Calculations'!$E29-'Mass Ion Calculations'!$D$5),IF('Mass Ion Calculations'!$D$7="Yes", 'Mass Ion Calculations'!$D$15+'AA Exact Masses'!$Q$3-'Mass Ion Calculations'!$C$5-'Mass Ion Calculations'!$C29-'Mass Ion Calculations'!$D$5,'Mass Ion Calculations'!$F$15+'AA Exact Masses'!$Q$3-'Mass Ion Calculations'!$E$5-'Mass Ion Calculations'!$E29-'Mass Ion Calculations'!$D$5)))</f>
        <v/>
      </c>
      <c r="D28" s="3" t="str">
        <f>IF(OR($B28="",D$3=""),"",IF('Mass Ion Calculations'!$D$6="Yes",IF('Mass Ion Calculations'!$D$7="Yes",'Mass Ion Calculations'!$D$18+'AA Exact Masses'!$Q$3-'Mass Ion Calculations'!$C$6-'Mass Ion Calculations'!$C29-'Mass Ion Calculations'!$D$5,'Mass Ion Calculations'!$F$18+'AA Exact Masses'!$Q$3-'Mass Ion Calculations'!$E$6-'Mass Ion Calculations'!$E29-'Mass Ion Calculations'!$D$5),IF('Mass Ion Calculations'!$D$7="Yes", 'Mass Ion Calculations'!$D$15+'AA Exact Masses'!$Q$3-'Mass Ion Calculations'!$C$6-'Mass Ion Calculations'!$C29-'Mass Ion Calculations'!$D$5,'Mass Ion Calculations'!$F$15+'AA Exact Masses'!$Q$3-'Mass Ion Calculations'!$E$6-'Mass Ion Calculations'!$E29-'Mass Ion Calculations'!$D$5)))</f>
        <v/>
      </c>
      <c r="E28" s="3" t="str">
        <f>IF(OR($B28="",E$3=""),"",IF('Mass Ion Calculations'!$D$6="Yes",IF('Mass Ion Calculations'!$D$7="Yes",'Mass Ion Calculations'!$D$18+'AA Exact Masses'!$Q$3-'Mass Ion Calculations'!$C$7-'Mass Ion Calculations'!$C29-'Mass Ion Calculations'!$D$5,'Mass Ion Calculations'!$F$18+'AA Exact Masses'!$Q$3-'Mass Ion Calculations'!$E$7-'Mass Ion Calculations'!$E29-'Mass Ion Calculations'!$D$5),IF('Mass Ion Calculations'!$D$7="Yes", 'Mass Ion Calculations'!$D$15+'AA Exact Masses'!$Q$3-'Mass Ion Calculations'!$C$7-'Mass Ion Calculations'!$C29-'Mass Ion Calculations'!$D$5,'Mass Ion Calculations'!$F$15+'AA Exact Masses'!$Q$3-'Mass Ion Calculations'!$E$7-'Mass Ion Calculations'!$E29-'Mass Ion Calculations'!$D$5)))</f>
        <v/>
      </c>
      <c r="F28" s="3" t="str">
        <f>IF(OR($B28="",F$3=""),"",IF('Mass Ion Calculations'!$D$6="Yes",IF('Mass Ion Calculations'!$D$7="Yes",'Mass Ion Calculations'!$D$18+'AA Exact Masses'!$Q$3-'Mass Ion Calculations'!$C$8-'Mass Ion Calculations'!$C29-'Mass Ion Calculations'!$D$5,'Mass Ion Calculations'!$F$18+'AA Exact Masses'!$Q$3-'Mass Ion Calculations'!$E$8-'Mass Ion Calculations'!$E29-'Mass Ion Calculations'!$D$5),IF('Mass Ion Calculations'!$D$7="Yes", 'Mass Ion Calculations'!$D$15+'AA Exact Masses'!$Q$3-'Mass Ion Calculations'!$C$8-'Mass Ion Calculations'!$C29-'Mass Ion Calculations'!$D$5,'Mass Ion Calculations'!$F$15+'AA Exact Masses'!$Q$3-'Mass Ion Calculations'!$E$8-'Mass Ion Calculations'!$E29-'Mass Ion Calculations'!$D$5)))</f>
        <v/>
      </c>
      <c r="G28" s="3" t="str">
        <f>IF(OR($B28="",G$3=""),"",IF('Mass Ion Calculations'!$D$6="Yes",IF('Mass Ion Calculations'!$D$7="Yes",'Mass Ion Calculations'!$D$18+'AA Exact Masses'!$Q$3-'Mass Ion Calculations'!$C$9-'Mass Ion Calculations'!$C29-'Mass Ion Calculations'!$D$5,'Mass Ion Calculations'!$F$18+'AA Exact Masses'!$Q$3-'Mass Ion Calculations'!$E$9-'Mass Ion Calculations'!$E29-'Mass Ion Calculations'!$D$5),IF('Mass Ion Calculations'!$D$7="Yes", 'Mass Ion Calculations'!$D$15+'AA Exact Masses'!$Q$3-'Mass Ion Calculations'!$C$9-'Mass Ion Calculations'!$C29-'Mass Ion Calculations'!$D$5,'Mass Ion Calculations'!$F$15+'AA Exact Masses'!$Q$3-'Mass Ion Calculations'!$E$9-'Mass Ion Calculations'!$E29-'Mass Ion Calculations'!$D$5)))</f>
        <v/>
      </c>
      <c r="H28" s="3" t="str">
        <f>IF(OR($B28="",H$3=""),"",IF('Mass Ion Calculations'!$D$6="Yes",IF('Mass Ion Calculations'!$D$7="Yes",'Mass Ion Calculations'!$D$18+'AA Exact Masses'!$Q$3-'Mass Ion Calculations'!$C$10-'Mass Ion Calculations'!$C29-'Mass Ion Calculations'!$D$5,'Mass Ion Calculations'!$F$18+'AA Exact Masses'!$Q$3-'Mass Ion Calculations'!$E$10-'Mass Ion Calculations'!$E29-'Mass Ion Calculations'!$D$5),IF('Mass Ion Calculations'!$D$7="Yes", 'Mass Ion Calculations'!$D$15+'AA Exact Masses'!$Q$3-'Mass Ion Calculations'!$C$10-'Mass Ion Calculations'!$C29-'Mass Ion Calculations'!$D$5,'Mass Ion Calculations'!$F$15+'AA Exact Masses'!$Q$3-'Mass Ion Calculations'!$E$10-'Mass Ion Calculations'!$E29-'Mass Ion Calculations'!$D$5)))</f>
        <v/>
      </c>
      <c r="I28" s="3" t="str">
        <f>IF(OR($B28="",I$3=""),"",IF('Mass Ion Calculations'!$D$6="Yes",IF('Mass Ion Calculations'!$D$7="Yes",'Mass Ion Calculations'!$D$18+'AA Exact Masses'!$Q$3-'Mass Ion Calculations'!$C$11-'Mass Ion Calculations'!$C29-'Mass Ion Calculations'!$D$5,'Mass Ion Calculations'!$F$18+'AA Exact Masses'!$Q$3-'Mass Ion Calculations'!$E$11-'Mass Ion Calculations'!$E29-'Mass Ion Calculations'!$D$5),IF('Mass Ion Calculations'!$D$7="Yes", 'Mass Ion Calculations'!$D$15+'AA Exact Masses'!$Q$3-'Mass Ion Calculations'!$C$11-'Mass Ion Calculations'!$C29-'Mass Ion Calculations'!$D$5,'Mass Ion Calculations'!$F$15+'AA Exact Masses'!$Q$3-'Mass Ion Calculations'!$E$11-'Mass Ion Calculations'!$E29-'Mass Ion Calculations'!$D$5)))</f>
        <v/>
      </c>
      <c r="J28" s="3" t="str">
        <f>IF(OR($B28="",J$3=""),"",IF('Mass Ion Calculations'!$D$6="Yes",IF('Mass Ion Calculations'!$D$7="Yes",'Mass Ion Calculations'!$D$18+'AA Exact Masses'!$Q$3-'Mass Ion Calculations'!$C$12-'Mass Ion Calculations'!$C29-'Mass Ion Calculations'!$D$5,'Mass Ion Calculations'!$F$18+'AA Exact Masses'!$Q$3-'Mass Ion Calculations'!$E$12-'Mass Ion Calculations'!$E29-'Mass Ion Calculations'!$D$5),IF('Mass Ion Calculations'!$D$7="Yes", 'Mass Ion Calculations'!$D$15+'AA Exact Masses'!$Q$3-'Mass Ion Calculations'!$C$12-'Mass Ion Calculations'!$C29-'Mass Ion Calculations'!$D$5,'Mass Ion Calculations'!$F$15+'AA Exact Masses'!$Q$3-'Mass Ion Calculations'!$E$12-'Mass Ion Calculations'!$E29-'Mass Ion Calculations'!$D$5)))</f>
        <v/>
      </c>
      <c r="K28" s="3" t="str">
        <f>IF(OR($B28="",K$3=""),"",IF('Mass Ion Calculations'!$D$6="Yes",IF('Mass Ion Calculations'!$D$7="Yes",'Mass Ion Calculations'!$D$18+'AA Exact Masses'!$Q$3-'Mass Ion Calculations'!$C$13-'Mass Ion Calculations'!$C29-'Mass Ion Calculations'!$D$5,'Mass Ion Calculations'!$F$18+'AA Exact Masses'!$Q$3-'Mass Ion Calculations'!$E$14-'Mass Ion Calculations'!$E29-'Mass Ion Calculations'!$D$5),IF('Mass Ion Calculations'!$D$7="Yes", 'Mass Ion Calculations'!$D$15+'AA Exact Masses'!$Q$3-'Mass Ion Calculations'!$C$13-'Mass Ion Calculations'!$C29-'Mass Ion Calculations'!$D$5,'Mass Ion Calculations'!$F$15+'AA Exact Masses'!$Q$3-'Mass Ion Calculations'!$E$14-'Mass Ion Calculations'!$E29-'Mass Ion Calculations'!$D$5)))</f>
        <v/>
      </c>
      <c r="L28" s="3" t="str">
        <f>IF(OR($B28="",L$3=""),"",IF('Mass Ion Calculations'!$D$6="Yes",IF('Mass Ion Calculations'!$D$7="Yes",'Mass Ion Calculations'!$D$18+'AA Exact Masses'!$Q$3-'Mass Ion Calculations'!$C$14-'Mass Ion Calculations'!$C29-'Mass Ion Calculations'!$D$5,'Mass Ion Calculations'!$F$18+'AA Exact Masses'!$Q$3-'Mass Ion Calculations'!$E$15-'Mass Ion Calculations'!$E29-'Mass Ion Calculations'!$D$5),IF('Mass Ion Calculations'!$D$7="Yes", 'Mass Ion Calculations'!$D$15+'AA Exact Masses'!$Q$3-'Mass Ion Calculations'!$C$14-'Mass Ion Calculations'!$C29-'Mass Ion Calculations'!$D$5,'Mass Ion Calculations'!$F$15+'AA Exact Masses'!$Q$3-'Mass Ion Calculations'!$E$15-'Mass Ion Calculations'!$E29-'Mass Ion Calculations'!$D$5)))</f>
        <v/>
      </c>
      <c r="M28" s="3" t="str">
        <f>IF(OR($B28="",M$3=""),"",IF('Mass Ion Calculations'!$D$6="Yes",IF('Mass Ion Calculations'!$D$7="Yes",'Mass Ion Calculations'!$D$18+'AA Exact Masses'!$Q$3-'Mass Ion Calculations'!$C$15-'Mass Ion Calculations'!$C29-'Mass Ion Calculations'!$D$5,'Mass Ion Calculations'!$F$18+'AA Exact Masses'!$Q$3-'Mass Ion Calculations'!$E$16-'Mass Ion Calculations'!$E29-'Mass Ion Calculations'!$D$5),IF('Mass Ion Calculations'!$D$7="Yes", 'Mass Ion Calculations'!$D$15+'AA Exact Masses'!$Q$3-'Mass Ion Calculations'!$C$15-'Mass Ion Calculations'!$C29-'Mass Ion Calculations'!$D$5,'Mass Ion Calculations'!$F$15+'AA Exact Masses'!$Q$3-'Mass Ion Calculations'!$E$16-'Mass Ion Calculations'!$E29-'Mass Ion Calculations'!$D$5)))</f>
        <v/>
      </c>
      <c r="N28" s="3" t="str">
        <f>IF(OR($B28="",N$3=""),"",IF('Mass Ion Calculations'!$D$6="Yes",IF('Mass Ion Calculations'!$D$7="Yes",'Mass Ion Calculations'!$D$18+'AA Exact Masses'!$Q$3-'Mass Ion Calculations'!$C$16-'Mass Ion Calculations'!$C29-'Mass Ion Calculations'!$D$5,'Mass Ion Calculations'!$F$18+'AA Exact Masses'!$Q$3-'Mass Ion Calculations'!$E$17-'Mass Ion Calculations'!$E29-'Mass Ion Calculations'!$D$5),IF('Mass Ion Calculations'!$D$7="Yes", 'Mass Ion Calculations'!$D$15+'AA Exact Masses'!$Q$3-'Mass Ion Calculations'!$C$16-'Mass Ion Calculations'!$C29-'Mass Ion Calculations'!$D$5,'Mass Ion Calculations'!$F$15+'AA Exact Masses'!$Q$3-'Mass Ion Calculations'!$E$17-'Mass Ion Calculations'!$E29-'Mass Ion Calculations'!$D$5)))</f>
        <v/>
      </c>
      <c r="O28" s="3" t="str">
        <f>IF(OR($B28="",O$3=""),"",IF('Mass Ion Calculations'!$D$6="Yes",IF('Mass Ion Calculations'!$D$7="Yes",'Mass Ion Calculations'!$D$18+'AA Exact Masses'!$Q$3-'Mass Ion Calculations'!$C$17-'Mass Ion Calculations'!$C29-'Mass Ion Calculations'!$D$5,'Mass Ion Calculations'!$F$18+'AA Exact Masses'!$Q$3-'Mass Ion Calculations'!$E$18-'Mass Ion Calculations'!$E29-'Mass Ion Calculations'!$D$5),IF('Mass Ion Calculations'!$D$7="Yes", 'Mass Ion Calculations'!$D$15+'AA Exact Masses'!$Q$3-'Mass Ion Calculations'!$C$17-'Mass Ion Calculations'!$C29-'Mass Ion Calculations'!$D$5,'Mass Ion Calculations'!$F$15+'AA Exact Masses'!$Q$3-'Mass Ion Calculations'!$E$18-'Mass Ion Calculations'!$E29-'Mass Ion Calculations'!$D$5)))</f>
        <v/>
      </c>
      <c r="P28" s="3" t="str">
        <f>IF(OR($B28="",P$3=""),"",IF('Mass Ion Calculations'!$D$6="Yes",IF('Mass Ion Calculations'!$D$7="Yes",'Mass Ion Calculations'!$D$18+'AA Exact Masses'!$Q$3-'Mass Ion Calculations'!$C$18-'Mass Ion Calculations'!$C29-'Mass Ion Calculations'!$D$5,'Mass Ion Calculations'!$F$18+'AA Exact Masses'!$Q$3-'Mass Ion Calculations'!#REF!-'Mass Ion Calculations'!$E29-'Mass Ion Calculations'!$D$5),IF('Mass Ion Calculations'!$D$7="Yes", 'Mass Ion Calculations'!$D$15+'AA Exact Masses'!$Q$3-'Mass Ion Calculations'!$C$18-'Mass Ion Calculations'!$C29-'Mass Ion Calculations'!$D$5,'Mass Ion Calculations'!$F$15+'AA Exact Masses'!$Q$3-'Mass Ion Calculations'!#REF!-'Mass Ion Calculations'!$E29-'Mass Ion Calculations'!$D$5)))</f>
        <v/>
      </c>
      <c r="Q28" s="3" t="str">
        <f>IF(OR($B28="",Q$3=""),"",IF('Mass Ion Calculations'!$D$6="Yes",IF('Mass Ion Calculations'!$D$7="Yes",'Mass Ion Calculations'!$D$18+'AA Exact Masses'!$Q$3-'Mass Ion Calculations'!$C$19-'Mass Ion Calculations'!$C29-'Mass Ion Calculations'!$D$5,'Mass Ion Calculations'!$F$18+'AA Exact Masses'!$Q$3-'Mass Ion Calculations'!$E$19-'Mass Ion Calculations'!$E29-'Mass Ion Calculations'!$D$5),IF('Mass Ion Calculations'!$D$7="Yes", 'Mass Ion Calculations'!$D$15+'AA Exact Masses'!$Q$3-'Mass Ion Calculations'!$C$19-'Mass Ion Calculations'!$C29-'Mass Ion Calculations'!$D$5,'Mass Ion Calculations'!$F$15+'AA Exact Masses'!$Q$3-'Mass Ion Calculations'!$E$19-'Mass Ion Calculations'!$E29-'Mass Ion Calculations'!$D$5)))</f>
        <v/>
      </c>
      <c r="R28" s="3" t="str">
        <f>IF(OR($B28="",R$3=""),"",IF('Mass Ion Calculations'!$D$6="Yes",IF('Mass Ion Calculations'!$D$7="Yes",'Mass Ion Calculations'!$D$18+'AA Exact Masses'!$Q$3-'Mass Ion Calculations'!$C$20-'Mass Ion Calculations'!$C29-'Mass Ion Calculations'!$D$5,'Mass Ion Calculations'!$F$18+'AA Exact Masses'!$Q$3-'Mass Ion Calculations'!$E$20-'Mass Ion Calculations'!$E29-'Mass Ion Calculations'!$D$5),IF('Mass Ion Calculations'!$D$7="Yes", 'Mass Ion Calculations'!$D$15+'AA Exact Masses'!$Q$3-'Mass Ion Calculations'!$C$20-'Mass Ion Calculations'!$C29-'Mass Ion Calculations'!$D$5,'Mass Ion Calculations'!$F$15+'AA Exact Masses'!$Q$3-'Mass Ion Calculations'!$E$20-'Mass Ion Calculations'!$E29-'Mass Ion Calculations'!$D$5)))</f>
        <v/>
      </c>
      <c r="S28" s="3" t="str">
        <f>IF(OR($B28="",S$3=""),"",IF('Mass Ion Calculations'!$D$6="Yes",IF('Mass Ion Calculations'!$D$7="Yes",'Mass Ion Calculations'!$D$18+'AA Exact Masses'!$Q$3-'Mass Ion Calculations'!$C$21-'Mass Ion Calculations'!$C29-'Mass Ion Calculations'!$D$5,'Mass Ion Calculations'!$F$18+'AA Exact Masses'!$Q$3-'Mass Ion Calculations'!$E$21-'Mass Ion Calculations'!$E29-'Mass Ion Calculations'!$D$5),IF('Mass Ion Calculations'!$D$7="Yes", 'Mass Ion Calculations'!$D$15+'AA Exact Masses'!$Q$3-'Mass Ion Calculations'!$C$21-'Mass Ion Calculations'!$C29-'Mass Ion Calculations'!$D$5,'Mass Ion Calculations'!$F$15+'AA Exact Masses'!$Q$3-'Mass Ion Calculations'!$E$21-'Mass Ion Calculations'!$E29-'Mass Ion Calculations'!$D$5)))</f>
        <v/>
      </c>
      <c r="T28" s="3" t="str">
        <f>IF(OR($B28="",T$3=""),"",IF('Mass Ion Calculations'!$D$6="Yes",IF('Mass Ion Calculations'!$D$7="Yes",'Mass Ion Calculations'!$D$18+'AA Exact Masses'!$Q$3-'Mass Ion Calculations'!$C$22-'Mass Ion Calculations'!$C29-'Mass Ion Calculations'!$D$5,'Mass Ion Calculations'!$F$18+'AA Exact Masses'!$Q$3-'Mass Ion Calculations'!$E$22-'Mass Ion Calculations'!$E29-'Mass Ion Calculations'!$D$5),IF('Mass Ion Calculations'!$D$7="Yes", 'Mass Ion Calculations'!$D$15+'AA Exact Masses'!$Q$3-'Mass Ion Calculations'!$C$22-'Mass Ion Calculations'!$C29-'Mass Ion Calculations'!$D$5,'Mass Ion Calculations'!$F$15+'AA Exact Masses'!$Q$3-'Mass Ion Calculations'!$E$22-'Mass Ion Calculations'!$E29-'Mass Ion Calculations'!$D$5)))</f>
        <v/>
      </c>
      <c r="U28" s="3" t="str">
        <f>IF(OR($B28="",U$3=""),"",IF('Mass Ion Calculations'!$D$6="Yes",IF('Mass Ion Calculations'!$D$7="Yes",'Mass Ion Calculations'!$D$18+'AA Exact Masses'!$Q$3-'Mass Ion Calculations'!$C$23-'Mass Ion Calculations'!$C29-'Mass Ion Calculations'!$D$5,'Mass Ion Calculations'!$F$18+'AA Exact Masses'!$Q$3-'Mass Ion Calculations'!$E$23-'Mass Ion Calculations'!$E29-'Mass Ion Calculations'!$D$5),IF('Mass Ion Calculations'!$D$7="Yes", 'Mass Ion Calculations'!$D$15+'AA Exact Masses'!$Q$3-'Mass Ion Calculations'!$C$23-'Mass Ion Calculations'!$C29-'Mass Ion Calculations'!$D$5,'Mass Ion Calculations'!$F$15+'AA Exact Masses'!$Q$3-'Mass Ion Calculations'!$E$23-'Mass Ion Calculations'!$E29-'Mass Ion Calculations'!$D$5)))</f>
        <v/>
      </c>
      <c r="V28" s="3" t="str">
        <f>IF(OR($B28="",V$3=""),"",IF('Mass Ion Calculations'!$D$6="Yes",IF('Mass Ion Calculations'!$D$7="Yes",'Mass Ion Calculations'!$D$18+'AA Exact Masses'!$Q$3-'Mass Ion Calculations'!$C$24-'Mass Ion Calculations'!$C29-'Mass Ion Calculations'!$D$5,'Mass Ion Calculations'!$F$18+'AA Exact Masses'!$Q$3-'Mass Ion Calculations'!$E$24-'Mass Ion Calculations'!$E29-'Mass Ion Calculations'!$D$5),IF('Mass Ion Calculations'!$D$7="Yes", 'Mass Ion Calculations'!$D$15+'AA Exact Masses'!$Q$3-'Mass Ion Calculations'!$C$24-'Mass Ion Calculations'!$C29-'Mass Ion Calculations'!$D$5,'Mass Ion Calculations'!$F$15+'AA Exact Masses'!$Q$3-'Mass Ion Calculations'!$E$24-'Mass Ion Calculations'!$E29-'Mass Ion Calculations'!$D$5)))</f>
        <v/>
      </c>
      <c r="W28" s="3" t="str">
        <f>IF(OR($B28="",W$3=""),"",IF('Mass Ion Calculations'!$D$6="Yes",IF('Mass Ion Calculations'!$D$7="Yes",'Mass Ion Calculations'!$D$18+'AA Exact Masses'!$Q$3-'Mass Ion Calculations'!$C$25-'Mass Ion Calculations'!$C29-'Mass Ion Calculations'!$D$5,'Mass Ion Calculations'!$F$18+'AA Exact Masses'!$Q$3-'Mass Ion Calculations'!$E$25-'Mass Ion Calculations'!$E29-'Mass Ion Calculations'!$D$5),IF('Mass Ion Calculations'!$D$7="Yes", 'Mass Ion Calculations'!$D$15+'AA Exact Masses'!$Q$3-'Mass Ion Calculations'!$C$25-'Mass Ion Calculations'!$C29-'Mass Ion Calculations'!$D$5,'Mass Ion Calculations'!$F$15+'AA Exact Masses'!$Q$3-'Mass Ion Calculations'!$E$25-'Mass Ion Calculations'!$E29-'Mass Ion Calculations'!$D$5)))</f>
        <v/>
      </c>
      <c r="X28" s="3" t="str">
        <f>IF(OR($B28="",X$3=""),"",IF('Mass Ion Calculations'!$D$6="Yes",IF('Mass Ion Calculations'!$D$7="Yes",'Mass Ion Calculations'!$D$18+'AA Exact Masses'!$Q$3-'Mass Ion Calculations'!$C$26-'Mass Ion Calculations'!$C29-'Mass Ion Calculations'!$D$5,'Mass Ion Calculations'!$F$18+'AA Exact Masses'!$Q$3-'Mass Ion Calculations'!$E$26-'Mass Ion Calculations'!$E29-'Mass Ion Calculations'!$D$5),IF('Mass Ion Calculations'!$D$7="Yes", 'Mass Ion Calculations'!$D$15+'AA Exact Masses'!$Q$3-'Mass Ion Calculations'!$C$26-'Mass Ion Calculations'!$C29-'Mass Ion Calculations'!$D$5,'Mass Ion Calculations'!$F$15+'AA Exact Masses'!$Q$3-'Mass Ion Calculations'!$E$26-'Mass Ion Calculations'!$E29-'Mass Ion Calculations'!$D$5)))</f>
        <v/>
      </c>
      <c r="Y28" s="3" t="str">
        <f>IF(OR($B28="",Y$3=""),"",IF('Mass Ion Calculations'!$D$6="Yes",IF('Mass Ion Calculations'!$D$7="Yes",'Mass Ion Calculations'!$D$18+'AA Exact Masses'!$Q$3-'Mass Ion Calculations'!$C$27-'Mass Ion Calculations'!$C29-'Mass Ion Calculations'!$D$5,'Mass Ion Calculations'!$F$18+'AA Exact Masses'!$Q$3-'Mass Ion Calculations'!$E$27-'Mass Ion Calculations'!$E29-'Mass Ion Calculations'!$D$5),IF('Mass Ion Calculations'!$D$7="Yes", 'Mass Ion Calculations'!$D$15+'AA Exact Masses'!$Q$3-'Mass Ion Calculations'!$C$27-'Mass Ion Calculations'!$C29-'Mass Ion Calculations'!$D$5,'Mass Ion Calculations'!$F$15+'AA Exact Masses'!$Q$3-'Mass Ion Calculations'!$E$27-'Mass Ion Calculations'!$E29-'Mass Ion Calculations'!$D$5)))</f>
        <v/>
      </c>
      <c r="Z28" s="3" t="str">
        <f>IF(OR($B28="",Z$3=""),"",IF('Mass Ion Calculations'!$D$6="Yes",IF('Mass Ion Calculations'!$D$7="Yes",'Mass Ion Calculations'!$D$18+'AA Exact Masses'!$Q$3-'Mass Ion Calculations'!$C$28-'Mass Ion Calculations'!$C29-'Mass Ion Calculations'!$D$5,'Mass Ion Calculations'!$F$18+'AA Exact Masses'!$Q$3-'Mass Ion Calculations'!$E$28-'Mass Ion Calculations'!$E29-'Mass Ion Calculations'!$D$5),IF('Mass Ion Calculations'!$D$7="Yes", 'Mass Ion Calculations'!$D$15+'AA Exact Masses'!$Q$3-'Mass Ion Calculations'!$C$28-'Mass Ion Calculations'!$C29-'Mass Ion Calculations'!$D$5,'Mass Ion Calculations'!$F$15+'AA Exact Masses'!$Q$3-'Mass Ion Calculations'!$E$28-'Mass Ion Calculations'!$E29-'Mass Ion Calculations'!$D$5)))</f>
        <v/>
      </c>
    </row>
    <row r="29" spans="2:26" x14ac:dyDescent="0.25">
      <c r="B29" s="4" t="str">
        <f>IF('Mass Ion Calculations'!B30="","",'Mass Ion Calculations'!B30)</f>
        <v/>
      </c>
      <c r="C29" s="3" t="str">
        <f>IF(OR($B29="",C$3=""),"",IF('Mass Ion Calculations'!$D$6="Yes",IF('Mass Ion Calculations'!$D$7="Yes",'Mass Ion Calculations'!$D$18+'AA Exact Masses'!$Q$3-'Mass Ion Calculations'!$C$5-'Mass Ion Calculations'!$C30-'Mass Ion Calculations'!$D$5,'Mass Ion Calculations'!$F$18+'AA Exact Masses'!$Q$3-'Mass Ion Calculations'!$E$5-'Mass Ion Calculations'!$E30-'Mass Ion Calculations'!$D$5),IF('Mass Ion Calculations'!$D$7="Yes", 'Mass Ion Calculations'!$D$15+'AA Exact Masses'!$Q$3-'Mass Ion Calculations'!$C$5-'Mass Ion Calculations'!$C30-'Mass Ion Calculations'!$D$5,'Mass Ion Calculations'!$F$15+'AA Exact Masses'!$Q$3-'Mass Ion Calculations'!$E$5-'Mass Ion Calculations'!$E30-'Mass Ion Calculations'!$D$5)))</f>
        <v/>
      </c>
      <c r="D29" s="3" t="str">
        <f>IF(OR($B29="",D$3=""),"",IF('Mass Ion Calculations'!$D$6="Yes",IF('Mass Ion Calculations'!$D$7="Yes",'Mass Ion Calculations'!$D$18+'AA Exact Masses'!$Q$3-'Mass Ion Calculations'!$C$6-'Mass Ion Calculations'!$C30-'Mass Ion Calculations'!$D$5,'Mass Ion Calculations'!$F$18+'AA Exact Masses'!$Q$3-'Mass Ion Calculations'!$E$6-'Mass Ion Calculations'!$E30-'Mass Ion Calculations'!$D$5),IF('Mass Ion Calculations'!$D$7="Yes", 'Mass Ion Calculations'!$D$15+'AA Exact Masses'!$Q$3-'Mass Ion Calculations'!$C$6-'Mass Ion Calculations'!$C30-'Mass Ion Calculations'!$D$5,'Mass Ion Calculations'!$F$15+'AA Exact Masses'!$Q$3-'Mass Ion Calculations'!$E$6-'Mass Ion Calculations'!$E30-'Mass Ion Calculations'!$D$5)))</f>
        <v/>
      </c>
      <c r="E29" s="3" t="str">
        <f>IF(OR($B29="",E$3=""),"",IF('Mass Ion Calculations'!$D$6="Yes",IF('Mass Ion Calculations'!$D$7="Yes",'Mass Ion Calculations'!$D$18+'AA Exact Masses'!$Q$3-'Mass Ion Calculations'!$C$7-'Mass Ion Calculations'!$C30-'Mass Ion Calculations'!$D$5,'Mass Ion Calculations'!$F$18+'AA Exact Masses'!$Q$3-'Mass Ion Calculations'!$E$7-'Mass Ion Calculations'!$E30-'Mass Ion Calculations'!$D$5),IF('Mass Ion Calculations'!$D$7="Yes", 'Mass Ion Calculations'!$D$15+'AA Exact Masses'!$Q$3-'Mass Ion Calculations'!$C$7-'Mass Ion Calculations'!$C30-'Mass Ion Calculations'!$D$5,'Mass Ion Calculations'!$F$15+'AA Exact Masses'!$Q$3-'Mass Ion Calculations'!$E$7-'Mass Ion Calculations'!$E30-'Mass Ion Calculations'!$D$5)))</f>
        <v/>
      </c>
      <c r="F29" s="3" t="str">
        <f>IF(OR($B29="",F$3=""),"",IF('Mass Ion Calculations'!$D$6="Yes",IF('Mass Ion Calculations'!$D$7="Yes",'Mass Ion Calculations'!$D$18+'AA Exact Masses'!$Q$3-'Mass Ion Calculations'!$C$8-'Mass Ion Calculations'!$C30-'Mass Ion Calculations'!$D$5,'Mass Ion Calculations'!$F$18+'AA Exact Masses'!$Q$3-'Mass Ion Calculations'!$E$8-'Mass Ion Calculations'!$E30-'Mass Ion Calculations'!$D$5),IF('Mass Ion Calculations'!$D$7="Yes", 'Mass Ion Calculations'!$D$15+'AA Exact Masses'!$Q$3-'Mass Ion Calculations'!$C$8-'Mass Ion Calculations'!$C30-'Mass Ion Calculations'!$D$5,'Mass Ion Calculations'!$F$15+'AA Exact Masses'!$Q$3-'Mass Ion Calculations'!$E$8-'Mass Ion Calculations'!$E30-'Mass Ion Calculations'!$D$5)))</f>
        <v/>
      </c>
      <c r="G29" s="3" t="str">
        <f>IF(OR($B29="",G$3=""),"",IF('Mass Ion Calculations'!$D$6="Yes",IF('Mass Ion Calculations'!$D$7="Yes",'Mass Ion Calculations'!$D$18+'AA Exact Masses'!$Q$3-'Mass Ion Calculations'!$C$9-'Mass Ion Calculations'!$C30-'Mass Ion Calculations'!$D$5,'Mass Ion Calculations'!$F$18+'AA Exact Masses'!$Q$3-'Mass Ion Calculations'!$E$9-'Mass Ion Calculations'!$E30-'Mass Ion Calculations'!$D$5),IF('Mass Ion Calculations'!$D$7="Yes", 'Mass Ion Calculations'!$D$15+'AA Exact Masses'!$Q$3-'Mass Ion Calculations'!$C$9-'Mass Ion Calculations'!$C30-'Mass Ion Calculations'!$D$5,'Mass Ion Calculations'!$F$15+'AA Exact Masses'!$Q$3-'Mass Ion Calculations'!$E$9-'Mass Ion Calculations'!$E30-'Mass Ion Calculations'!$D$5)))</f>
        <v/>
      </c>
      <c r="H29" s="3" t="str">
        <f>IF(OR($B29="",H$3=""),"",IF('Mass Ion Calculations'!$D$6="Yes",IF('Mass Ion Calculations'!$D$7="Yes",'Mass Ion Calculations'!$D$18+'AA Exact Masses'!$Q$3-'Mass Ion Calculations'!$C$10-'Mass Ion Calculations'!$C30-'Mass Ion Calculations'!$D$5,'Mass Ion Calculations'!$F$18+'AA Exact Masses'!$Q$3-'Mass Ion Calculations'!$E$10-'Mass Ion Calculations'!$E30-'Mass Ion Calculations'!$D$5),IF('Mass Ion Calculations'!$D$7="Yes", 'Mass Ion Calculations'!$D$15+'AA Exact Masses'!$Q$3-'Mass Ion Calculations'!$C$10-'Mass Ion Calculations'!$C30-'Mass Ion Calculations'!$D$5,'Mass Ion Calculations'!$F$15+'AA Exact Masses'!$Q$3-'Mass Ion Calculations'!$E$10-'Mass Ion Calculations'!$E30-'Mass Ion Calculations'!$D$5)))</f>
        <v/>
      </c>
      <c r="I29" s="3" t="str">
        <f>IF(OR($B29="",I$3=""),"",IF('Mass Ion Calculations'!$D$6="Yes",IF('Mass Ion Calculations'!$D$7="Yes",'Mass Ion Calculations'!$D$18+'AA Exact Masses'!$Q$3-'Mass Ion Calculations'!$C$11-'Mass Ion Calculations'!$C30-'Mass Ion Calculations'!$D$5,'Mass Ion Calculations'!$F$18+'AA Exact Masses'!$Q$3-'Mass Ion Calculations'!$E$11-'Mass Ion Calculations'!$E30-'Mass Ion Calculations'!$D$5),IF('Mass Ion Calculations'!$D$7="Yes", 'Mass Ion Calculations'!$D$15+'AA Exact Masses'!$Q$3-'Mass Ion Calculations'!$C$11-'Mass Ion Calculations'!$C30-'Mass Ion Calculations'!$D$5,'Mass Ion Calculations'!$F$15+'AA Exact Masses'!$Q$3-'Mass Ion Calculations'!$E$11-'Mass Ion Calculations'!$E30-'Mass Ion Calculations'!$D$5)))</f>
        <v/>
      </c>
      <c r="J29" s="3" t="str">
        <f>IF(OR($B29="",J$3=""),"",IF('Mass Ion Calculations'!$D$6="Yes",IF('Mass Ion Calculations'!$D$7="Yes",'Mass Ion Calculations'!$D$18+'AA Exact Masses'!$Q$3-'Mass Ion Calculations'!$C$12-'Mass Ion Calculations'!$C30-'Mass Ion Calculations'!$D$5,'Mass Ion Calculations'!$F$18+'AA Exact Masses'!$Q$3-'Mass Ion Calculations'!$E$12-'Mass Ion Calculations'!$E30-'Mass Ion Calculations'!$D$5),IF('Mass Ion Calculations'!$D$7="Yes", 'Mass Ion Calculations'!$D$15+'AA Exact Masses'!$Q$3-'Mass Ion Calculations'!$C$12-'Mass Ion Calculations'!$C30-'Mass Ion Calculations'!$D$5,'Mass Ion Calculations'!$F$15+'AA Exact Masses'!$Q$3-'Mass Ion Calculations'!$E$12-'Mass Ion Calculations'!$E30-'Mass Ion Calculations'!$D$5)))</f>
        <v/>
      </c>
      <c r="K29" s="3" t="str">
        <f>IF(OR($B29="",K$3=""),"",IF('Mass Ion Calculations'!$D$6="Yes",IF('Mass Ion Calculations'!$D$7="Yes",'Mass Ion Calculations'!$D$18+'AA Exact Masses'!$Q$3-'Mass Ion Calculations'!$C$13-'Mass Ion Calculations'!$C30-'Mass Ion Calculations'!$D$5,'Mass Ion Calculations'!$F$18+'AA Exact Masses'!$Q$3-'Mass Ion Calculations'!$E$14-'Mass Ion Calculations'!$E30-'Mass Ion Calculations'!$D$5),IF('Mass Ion Calculations'!$D$7="Yes", 'Mass Ion Calculations'!$D$15+'AA Exact Masses'!$Q$3-'Mass Ion Calculations'!$C$13-'Mass Ion Calculations'!$C30-'Mass Ion Calculations'!$D$5,'Mass Ion Calculations'!$F$15+'AA Exact Masses'!$Q$3-'Mass Ion Calculations'!$E$14-'Mass Ion Calculations'!$E30-'Mass Ion Calculations'!$D$5)))</f>
        <v/>
      </c>
      <c r="L29" s="3" t="str">
        <f>IF(OR($B29="",L$3=""),"",IF('Mass Ion Calculations'!$D$6="Yes",IF('Mass Ion Calculations'!$D$7="Yes",'Mass Ion Calculations'!$D$18+'AA Exact Masses'!$Q$3-'Mass Ion Calculations'!$C$14-'Mass Ion Calculations'!$C30-'Mass Ion Calculations'!$D$5,'Mass Ion Calculations'!$F$18+'AA Exact Masses'!$Q$3-'Mass Ion Calculations'!$E$15-'Mass Ion Calculations'!$E30-'Mass Ion Calculations'!$D$5),IF('Mass Ion Calculations'!$D$7="Yes", 'Mass Ion Calculations'!$D$15+'AA Exact Masses'!$Q$3-'Mass Ion Calculations'!$C$14-'Mass Ion Calculations'!$C30-'Mass Ion Calculations'!$D$5,'Mass Ion Calculations'!$F$15+'AA Exact Masses'!$Q$3-'Mass Ion Calculations'!$E$15-'Mass Ion Calculations'!$E30-'Mass Ion Calculations'!$D$5)))</f>
        <v/>
      </c>
      <c r="M29" s="3" t="str">
        <f>IF(OR($B29="",M$3=""),"",IF('Mass Ion Calculations'!$D$6="Yes",IF('Mass Ion Calculations'!$D$7="Yes",'Mass Ion Calculations'!$D$18+'AA Exact Masses'!$Q$3-'Mass Ion Calculations'!$C$15-'Mass Ion Calculations'!$C30-'Mass Ion Calculations'!$D$5,'Mass Ion Calculations'!$F$18+'AA Exact Masses'!$Q$3-'Mass Ion Calculations'!$E$16-'Mass Ion Calculations'!$E30-'Mass Ion Calculations'!$D$5),IF('Mass Ion Calculations'!$D$7="Yes", 'Mass Ion Calculations'!$D$15+'AA Exact Masses'!$Q$3-'Mass Ion Calculations'!$C$15-'Mass Ion Calculations'!$C30-'Mass Ion Calculations'!$D$5,'Mass Ion Calculations'!$F$15+'AA Exact Masses'!$Q$3-'Mass Ion Calculations'!$E$16-'Mass Ion Calculations'!$E30-'Mass Ion Calculations'!$D$5)))</f>
        <v/>
      </c>
      <c r="N29" s="3" t="str">
        <f>IF(OR($B29="",N$3=""),"",IF('Mass Ion Calculations'!$D$6="Yes",IF('Mass Ion Calculations'!$D$7="Yes",'Mass Ion Calculations'!$D$18+'AA Exact Masses'!$Q$3-'Mass Ion Calculations'!$C$16-'Mass Ion Calculations'!$C30-'Mass Ion Calculations'!$D$5,'Mass Ion Calculations'!$F$18+'AA Exact Masses'!$Q$3-'Mass Ion Calculations'!$E$17-'Mass Ion Calculations'!$E30-'Mass Ion Calculations'!$D$5),IF('Mass Ion Calculations'!$D$7="Yes", 'Mass Ion Calculations'!$D$15+'AA Exact Masses'!$Q$3-'Mass Ion Calculations'!$C$16-'Mass Ion Calculations'!$C30-'Mass Ion Calculations'!$D$5,'Mass Ion Calculations'!$F$15+'AA Exact Masses'!$Q$3-'Mass Ion Calculations'!$E$17-'Mass Ion Calculations'!$E30-'Mass Ion Calculations'!$D$5)))</f>
        <v/>
      </c>
      <c r="O29" s="3" t="str">
        <f>IF(OR($B29="",O$3=""),"",IF('Mass Ion Calculations'!$D$6="Yes",IF('Mass Ion Calculations'!$D$7="Yes",'Mass Ion Calculations'!$D$18+'AA Exact Masses'!$Q$3-'Mass Ion Calculations'!$C$17-'Mass Ion Calculations'!$C30-'Mass Ion Calculations'!$D$5,'Mass Ion Calculations'!$F$18+'AA Exact Masses'!$Q$3-'Mass Ion Calculations'!$E$18-'Mass Ion Calculations'!$E30-'Mass Ion Calculations'!$D$5),IF('Mass Ion Calculations'!$D$7="Yes", 'Mass Ion Calculations'!$D$15+'AA Exact Masses'!$Q$3-'Mass Ion Calculations'!$C$17-'Mass Ion Calculations'!$C30-'Mass Ion Calculations'!$D$5,'Mass Ion Calculations'!$F$15+'AA Exact Masses'!$Q$3-'Mass Ion Calculations'!$E$18-'Mass Ion Calculations'!$E30-'Mass Ion Calculations'!$D$5)))</f>
        <v/>
      </c>
      <c r="P29" s="3" t="str">
        <f>IF(OR($B29="",P$3=""),"",IF('Mass Ion Calculations'!$D$6="Yes",IF('Mass Ion Calculations'!$D$7="Yes",'Mass Ion Calculations'!$D$18+'AA Exact Masses'!$Q$3-'Mass Ion Calculations'!$C$18-'Mass Ion Calculations'!$C30-'Mass Ion Calculations'!$D$5,'Mass Ion Calculations'!$F$18+'AA Exact Masses'!$Q$3-'Mass Ion Calculations'!#REF!-'Mass Ion Calculations'!$E30-'Mass Ion Calculations'!$D$5),IF('Mass Ion Calculations'!$D$7="Yes", 'Mass Ion Calculations'!$D$15+'AA Exact Masses'!$Q$3-'Mass Ion Calculations'!$C$18-'Mass Ion Calculations'!$C30-'Mass Ion Calculations'!$D$5,'Mass Ion Calculations'!$F$15+'AA Exact Masses'!$Q$3-'Mass Ion Calculations'!#REF!-'Mass Ion Calculations'!$E30-'Mass Ion Calculations'!$D$5)))</f>
        <v/>
      </c>
      <c r="Q29" s="3" t="str">
        <f>IF(OR($B29="",Q$3=""),"",IF('Mass Ion Calculations'!$D$6="Yes",IF('Mass Ion Calculations'!$D$7="Yes",'Mass Ion Calculations'!$D$18+'AA Exact Masses'!$Q$3-'Mass Ion Calculations'!$C$19-'Mass Ion Calculations'!$C30-'Mass Ion Calculations'!$D$5,'Mass Ion Calculations'!$F$18+'AA Exact Masses'!$Q$3-'Mass Ion Calculations'!$E$19-'Mass Ion Calculations'!$E30-'Mass Ion Calculations'!$D$5),IF('Mass Ion Calculations'!$D$7="Yes", 'Mass Ion Calculations'!$D$15+'AA Exact Masses'!$Q$3-'Mass Ion Calculations'!$C$19-'Mass Ion Calculations'!$C30-'Mass Ion Calculations'!$D$5,'Mass Ion Calculations'!$F$15+'AA Exact Masses'!$Q$3-'Mass Ion Calculations'!$E$19-'Mass Ion Calculations'!$E30-'Mass Ion Calculations'!$D$5)))</f>
        <v/>
      </c>
      <c r="R29" s="3" t="str">
        <f>IF(OR($B29="",R$3=""),"",IF('Mass Ion Calculations'!$D$6="Yes",IF('Mass Ion Calculations'!$D$7="Yes",'Mass Ion Calculations'!$D$18+'AA Exact Masses'!$Q$3-'Mass Ion Calculations'!$C$20-'Mass Ion Calculations'!$C30-'Mass Ion Calculations'!$D$5,'Mass Ion Calculations'!$F$18+'AA Exact Masses'!$Q$3-'Mass Ion Calculations'!$E$20-'Mass Ion Calculations'!$E30-'Mass Ion Calculations'!$D$5),IF('Mass Ion Calculations'!$D$7="Yes", 'Mass Ion Calculations'!$D$15+'AA Exact Masses'!$Q$3-'Mass Ion Calculations'!$C$20-'Mass Ion Calculations'!$C30-'Mass Ion Calculations'!$D$5,'Mass Ion Calculations'!$F$15+'AA Exact Masses'!$Q$3-'Mass Ion Calculations'!$E$20-'Mass Ion Calculations'!$E30-'Mass Ion Calculations'!$D$5)))</f>
        <v/>
      </c>
      <c r="S29" s="3" t="str">
        <f>IF(OR($B29="",S$3=""),"",IF('Mass Ion Calculations'!$D$6="Yes",IF('Mass Ion Calculations'!$D$7="Yes",'Mass Ion Calculations'!$D$18+'AA Exact Masses'!$Q$3-'Mass Ion Calculations'!$C$21-'Mass Ion Calculations'!$C30-'Mass Ion Calculations'!$D$5,'Mass Ion Calculations'!$F$18+'AA Exact Masses'!$Q$3-'Mass Ion Calculations'!$E$21-'Mass Ion Calculations'!$E30-'Mass Ion Calculations'!$D$5),IF('Mass Ion Calculations'!$D$7="Yes", 'Mass Ion Calculations'!$D$15+'AA Exact Masses'!$Q$3-'Mass Ion Calculations'!$C$21-'Mass Ion Calculations'!$C30-'Mass Ion Calculations'!$D$5,'Mass Ion Calculations'!$F$15+'AA Exact Masses'!$Q$3-'Mass Ion Calculations'!$E$21-'Mass Ion Calculations'!$E30-'Mass Ion Calculations'!$D$5)))</f>
        <v/>
      </c>
      <c r="T29" s="3" t="str">
        <f>IF(OR($B29="",T$3=""),"",IF('Mass Ion Calculations'!$D$6="Yes",IF('Mass Ion Calculations'!$D$7="Yes",'Mass Ion Calculations'!$D$18+'AA Exact Masses'!$Q$3-'Mass Ion Calculations'!$C$22-'Mass Ion Calculations'!$C30-'Mass Ion Calculations'!$D$5,'Mass Ion Calculations'!$F$18+'AA Exact Masses'!$Q$3-'Mass Ion Calculations'!$E$22-'Mass Ion Calculations'!$E30-'Mass Ion Calculations'!$D$5),IF('Mass Ion Calculations'!$D$7="Yes", 'Mass Ion Calculations'!$D$15+'AA Exact Masses'!$Q$3-'Mass Ion Calculations'!$C$22-'Mass Ion Calculations'!$C30-'Mass Ion Calculations'!$D$5,'Mass Ion Calculations'!$F$15+'AA Exact Masses'!$Q$3-'Mass Ion Calculations'!$E$22-'Mass Ion Calculations'!$E30-'Mass Ion Calculations'!$D$5)))</f>
        <v/>
      </c>
      <c r="U29" s="3" t="str">
        <f>IF(OR($B29="",U$3=""),"",IF('Mass Ion Calculations'!$D$6="Yes",IF('Mass Ion Calculations'!$D$7="Yes",'Mass Ion Calculations'!$D$18+'AA Exact Masses'!$Q$3-'Mass Ion Calculations'!$C$23-'Mass Ion Calculations'!$C30-'Mass Ion Calculations'!$D$5,'Mass Ion Calculations'!$F$18+'AA Exact Masses'!$Q$3-'Mass Ion Calculations'!$E$23-'Mass Ion Calculations'!$E30-'Mass Ion Calculations'!$D$5),IF('Mass Ion Calculations'!$D$7="Yes", 'Mass Ion Calculations'!$D$15+'AA Exact Masses'!$Q$3-'Mass Ion Calculations'!$C$23-'Mass Ion Calculations'!$C30-'Mass Ion Calculations'!$D$5,'Mass Ion Calculations'!$F$15+'AA Exact Masses'!$Q$3-'Mass Ion Calculations'!$E$23-'Mass Ion Calculations'!$E30-'Mass Ion Calculations'!$D$5)))</f>
        <v/>
      </c>
      <c r="V29" s="3" t="str">
        <f>IF(OR($B29="",V$3=""),"",IF('Mass Ion Calculations'!$D$6="Yes",IF('Mass Ion Calculations'!$D$7="Yes",'Mass Ion Calculations'!$D$18+'AA Exact Masses'!$Q$3-'Mass Ion Calculations'!$C$24-'Mass Ion Calculations'!$C30-'Mass Ion Calculations'!$D$5,'Mass Ion Calculations'!$F$18+'AA Exact Masses'!$Q$3-'Mass Ion Calculations'!$E$24-'Mass Ion Calculations'!$E30-'Mass Ion Calculations'!$D$5),IF('Mass Ion Calculations'!$D$7="Yes", 'Mass Ion Calculations'!$D$15+'AA Exact Masses'!$Q$3-'Mass Ion Calculations'!$C$24-'Mass Ion Calculations'!$C30-'Mass Ion Calculations'!$D$5,'Mass Ion Calculations'!$F$15+'AA Exact Masses'!$Q$3-'Mass Ion Calculations'!$E$24-'Mass Ion Calculations'!$E30-'Mass Ion Calculations'!$D$5)))</f>
        <v/>
      </c>
      <c r="W29" s="3" t="str">
        <f>IF(OR($B29="",W$3=""),"",IF('Mass Ion Calculations'!$D$6="Yes",IF('Mass Ion Calculations'!$D$7="Yes",'Mass Ion Calculations'!$D$18+'AA Exact Masses'!$Q$3-'Mass Ion Calculations'!$C$25-'Mass Ion Calculations'!$C30-'Mass Ion Calculations'!$D$5,'Mass Ion Calculations'!$F$18+'AA Exact Masses'!$Q$3-'Mass Ion Calculations'!$E$25-'Mass Ion Calculations'!$E30-'Mass Ion Calculations'!$D$5),IF('Mass Ion Calculations'!$D$7="Yes", 'Mass Ion Calculations'!$D$15+'AA Exact Masses'!$Q$3-'Mass Ion Calculations'!$C$25-'Mass Ion Calculations'!$C30-'Mass Ion Calculations'!$D$5,'Mass Ion Calculations'!$F$15+'AA Exact Masses'!$Q$3-'Mass Ion Calculations'!$E$25-'Mass Ion Calculations'!$E30-'Mass Ion Calculations'!$D$5)))</f>
        <v/>
      </c>
      <c r="X29" s="3" t="str">
        <f>IF(OR($B29="",X$3=""),"",IF('Mass Ion Calculations'!$D$6="Yes",IF('Mass Ion Calculations'!$D$7="Yes",'Mass Ion Calculations'!$D$18+'AA Exact Masses'!$Q$3-'Mass Ion Calculations'!$C$26-'Mass Ion Calculations'!$C30-'Mass Ion Calculations'!$D$5,'Mass Ion Calculations'!$F$18+'AA Exact Masses'!$Q$3-'Mass Ion Calculations'!$E$26-'Mass Ion Calculations'!$E30-'Mass Ion Calculations'!$D$5),IF('Mass Ion Calculations'!$D$7="Yes", 'Mass Ion Calculations'!$D$15+'AA Exact Masses'!$Q$3-'Mass Ion Calculations'!$C$26-'Mass Ion Calculations'!$C30-'Mass Ion Calculations'!$D$5,'Mass Ion Calculations'!$F$15+'AA Exact Masses'!$Q$3-'Mass Ion Calculations'!$E$26-'Mass Ion Calculations'!$E30-'Mass Ion Calculations'!$D$5)))</f>
        <v/>
      </c>
      <c r="Y29" s="3" t="str">
        <f>IF(OR($B29="",Y$3=""),"",IF('Mass Ion Calculations'!$D$6="Yes",IF('Mass Ion Calculations'!$D$7="Yes",'Mass Ion Calculations'!$D$18+'AA Exact Masses'!$Q$3-'Mass Ion Calculations'!$C$27-'Mass Ion Calculations'!$C30-'Mass Ion Calculations'!$D$5,'Mass Ion Calculations'!$F$18+'AA Exact Masses'!$Q$3-'Mass Ion Calculations'!$E$27-'Mass Ion Calculations'!$E30-'Mass Ion Calculations'!$D$5),IF('Mass Ion Calculations'!$D$7="Yes", 'Mass Ion Calculations'!$D$15+'AA Exact Masses'!$Q$3-'Mass Ion Calculations'!$C$27-'Mass Ion Calculations'!$C30-'Mass Ion Calculations'!$D$5,'Mass Ion Calculations'!$F$15+'AA Exact Masses'!$Q$3-'Mass Ion Calculations'!$E$27-'Mass Ion Calculations'!$E30-'Mass Ion Calculations'!$D$5)))</f>
        <v/>
      </c>
      <c r="Z29" s="3" t="str">
        <f>IF(OR($B29="",Z$3=""),"",IF('Mass Ion Calculations'!$D$6="Yes",IF('Mass Ion Calculations'!$D$7="Yes",'Mass Ion Calculations'!$D$18+'AA Exact Masses'!$Q$3-'Mass Ion Calculations'!$C$28-'Mass Ion Calculations'!$C30-'Mass Ion Calculations'!$D$5,'Mass Ion Calculations'!$F$18+'AA Exact Masses'!$Q$3-'Mass Ion Calculations'!$E$28-'Mass Ion Calculations'!$E30-'Mass Ion Calculations'!$D$5),IF('Mass Ion Calculations'!$D$7="Yes", 'Mass Ion Calculations'!$D$15+'AA Exact Masses'!$Q$3-'Mass Ion Calculations'!$C$28-'Mass Ion Calculations'!$C30-'Mass Ion Calculations'!$D$5,'Mass Ion Calculations'!$F$15+'AA Exact Masses'!$Q$3-'Mass Ion Calculations'!$E$28-'Mass Ion Calculations'!$E30-'Mass Ion Calculations'!$D$5)))</f>
        <v/>
      </c>
    </row>
    <row r="30" spans="2:26" x14ac:dyDescent="0.25">
      <c r="B30" s="4" t="str">
        <f>IF('Mass Ion Calculations'!B31="","",'Mass Ion Calculations'!B31)</f>
        <v/>
      </c>
      <c r="C30" s="3" t="str">
        <f>IF(OR($B30="",C$3=""),"",IF('Mass Ion Calculations'!$D$6="Yes",IF('Mass Ion Calculations'!$D$7="Yes",'Mass Ion Calculations'!$D$18+'AA Exact Masses'!$Q$3-'Mass Ion Calculations'!$C$5-'Mass Ion Calculations'!$C31-'Mass Ion Calculations'!$D$5,'Mass Ion Calculations'!$F$18+'AA Exact Masses'!$Q$3-'Mass Ion Calculations'!$E$5-'Mass Ion Calculations'!$E31-'Mass Ion Calculations'!$D$5),IF('Mass Ion Calculations'!$D$7="Yes", 'Mass Ion Calculations'!$D$15+'AA Exact Masses'!$Q$3-'Mass Ion Calculations'!$C$5-'Mass Ion Calculations'!$C31-'Mass Ion Calculations'!$D$5,'Mass Ion Calculations'!$F$15+'AA Exact Masses'!$Q$3-'Mass Ion Calculations'!$E$5-'Mass Ion Calculations'!$E31-'Mass Ion Calculations'!$D$5)))</f>
        <v/>
      </c>
      <c r="D30" s="3" t="str">
        <f>IF(OR($B30="",D$3=""),"",IF('Mass Ion Calculations'!$D$6="Yes",IF('Mass Ion Calculations'!$D$7="Yes",'Mass Ion Calculations'!$D$18+'AA Exact Masses'!$Q$3-'Mass Ion Calculations'!$C$6-'Mass Ion Calculations'!$C31-'Mass Ion Calculations'!$D$5,'Mass Ion Calculations'!$F$18+'AA Exact Masses'!$Q$3-'Mass Ion Calculations'!$E$6-'Mass Ion Calculations'!$E31-'Mass Ion Calculations'!$D$5),IF('Mass Ion Calculations'!$D$7="Yes", 'Mass Ion Calculations'!$D$15+'AA Exact Masses'!$Q$3-'Mass Ion Calculations'!$C$6-'Mass Ion Calculations'!$C31-'Mass Ion Calculations'!$D$5,'Mass Ion Calculations'!$F$15+'AA Exact Masses'!$Q$3-'Mass Ion Calculations'!$E$6-'Mass Ion Calculations'!$E31-'Mass Ion Calculations'!$D$5)))</f>
        <v/>
      </c>
      <c r="E30" s="3" t="str">
        <f>IF(OR($B30="",E$3=""),"",IF('Mass Ion Calculations'!$D$6="Yes",IF('Mass Ion Calculations'!$D$7="Yes",'Mass Ion Calculations'!$D$18+'AA Exact Masses'!$Q$3-'Mass Ion Calculations'!$C$7-'Mass Ion Calculations'!$C31-'Mass Ion Calculations'!$D$5,'Mass Ion Calculations'!$F$18+'AA Exact Masses'!$Q$3-'Mass Ion Calculations'!$E$7-'Mass Ion Calculations'!$E31-'Mass Ion Calculations'!$D$5),IF('Mass Ion Calculations'!$D$7="Yes", 'Mass Ion Calculations'!$D$15+'AA Exact Masses'!$Q$3-'Mass Ion Calculations'!$C$7-'Mass Ion Calculations'!$C31-'Mass Ion Calculations'!$D$5,'Mass Ion Calculations'!$F$15+'AA Exact Masses'!$Q$3-'Mass Ion Calculations'!$E$7-'Mass Ion Calculations'!$E31-'Mass Ion Calculations'!$D$5)))</f>
        <v/>
      </c>
      <c r="F30" s="3" t="str">
        <f>IF(OR($B30="",F$3=""),"",IF('Mass Ion Calculations'!$D$6="Yes",IF('Mass Ion Calculations'!$D$7="Yes",'Mass Ion Calculations'!$D$18+'AA Exact Masses'!$Q$3-'Mass Ion Calculations'!$C$8-'Mass Ion Calculations'!$C31-'Mass Ion Calculations'!$D$5,'Mass Ion Calculations'!$F$18+'AA Exact Masses'!$Q$3-'Mass Ion Calculations'!$E$8-'Mass Ion Calculations'!$E31-'Mass Ion Calculations'!$D$5),IF('Mass Ion Calculations'!$D$7="Yes", 'Mass Ion Calculations'!$D$15+'AA Exact Masses'!$Q$3-'Mass Ion Calculations'!$C$8-'Mass Ion Calculations'!$C31-'Mass Ion Calculations'!$D$5,'Mass Ion Calculations'!$F$15+'AA Exact Masses'!$Q$3-'Mass Ion Calculations'!$E$8-'Mass Ion Calculations'!$E31-'Mass Ion Calculations'!$D$5)))</f>
        <v/>
      </c>
      <c r="G30" s="3" t="str">
        <f>IF(OR($B30="",G$3=""),"",IF('Mass Ion Calculations'!$D$6="Yes",IF('Mass Ion Calculations'!$D$7="Yes",'Mass Ion Calculations'!$D$18+'AA Exact Masses'!$Q$3-'Mass Ion Calculations'!$C$9-'Mass Ion Calculations'!$C31-'Mass Ion Calculations'!$D$5,'Mass Ion Calculations'!$F$18+'AA Exact Masses'!$Q$3-'Mass Ion Calculations'!$E$9-'Mass Ion Calculations'!$E31-'Mass Ion Calculations'!$D$5),IF('Mass Ion Calculations'!$D$7="Yes", 'Mass Ion Calculations'!$D$15+'AA Exact Masses'!$Q$3-'Mass Ion Calculations'!$C$9-'Mass Ion Calculations'!$C31-'Mass Ion Calculations'!$D$5,'Mass Ion Calculations'!$F$15+'AA Exact Masses'!$Q$3-'Mass Ion Calculations'!$E$9-'Mass Ion Calculations'!$E31-'Mass Ion Calculations'!$D$5)))</f>
        <v/>
      </c>
      <c r="H30" s="3" t="str">
        <f>IF(OR($B30="",H$3=""),"",IF('Mass Ion Calculations'!$D$6="Yes",IF('Mass Ion Calculations'!$D$7="Yes",'Mass Ion Calculations'!$D$18+'AA Exact Masses'!$Q$3-'Mass Ion Calculations'!$C$10-'Mass Ion Calculations'!$C31-'Mass Ion Calculations'!$D$5,'Mass Ion Calculations'!$F$18+'AA Exact Masses'!$Q$3-'Mass Ion Calculations'!$E$10-'Mass Ion Calculations'!$E31-'Mass Ion Calculations'!$D$5),IF('Mass Ion Calculations'!$D$7="Yes", 'Mass Ion Calculations'!$D$15+'AA Exact Masses'!$Q$3-'Mass Ion Calculations'!$C$10-'Mass Ion Calculations'!$C31-'Mass Ion Calculations'!$D$5,'Mass Ion Calculations'!$F$15+'AA Exact Masses'!$Q$3-'Mass Ion Calculations'!$E$10-'Mass Ion Calculations'!$E31-'Mass Ion Calculations'!$D$5)))</f>
        <v/>
      </c>
      <c r="I30" s="3" t="str">
        <f>IF(OR($B30="",I$3=""),"",IF('Mass Ion Calculations'!$D$6="Yes",IF('Mass Ion Calculations'!$D$7="Yes",'Mass Ion Calculations'!$D$18+'AA Exact Masses'!$Q$3-'Mass Ion Calculations'!$C$11-'Mass Ion Calculations'!$C31-'Mass Ion Calculations'!$D$5,'Mass Ion Calculations'!$F$18+'AA Exact Masses'!$Q$3-'Mass Ion Calculations'!$E$11-'Mass Ion Calculations'!$E31-'Mass Ion Calculations'!$D$5),IF('Mass Ion Calculations'!$D$7="Yes", 'Mass Ion Calculations'!$D$15+'AA Exact Masses'!$Q$3-'Mass Ion Calculations'!$C$11-'Mass Ion Calculations'!$C31-'Mass Ion Calculations'!$D$5,'Mass Ion Calculations'!$F$15+'AA Exact Masses'!$Q$3-'Mass Ion Calculations'!$E$11-'Mass Ion Calculations'!$E31-'Mass Ion Calculations'!$D$5)))</f>
        <v/>
      </c>
      <c r="J30" s="3" t="str">
        <f>IF(OR($B30="",J$3=""),"",IF('Mass Ion Calculations'!$D$6="Yes",IF('Mass Ion Calculations'!$D$7="Yes",'Mass Ion Calculations'!$D$18+'AA Exact Masses'!$Q$3-'Mass Ion Calculations'!$C$12-'Mass Ion Calculations'!$C31-'Mass Ion Calculations'!$D$5,'Mass Ion Calculations'!$F$18+'AA Exact Masses'!$Q$3-'Mass Ion Calculations'!$E$12-'Mass Ion Calculations'!$E31-'Mass Ion Calculations'!$D$5),IF('Mass Ion Calculations'!$D$7="Yes", 'Mass Ion Calculations'!$D$15+'AA Exact Masses'!$Q$3-'Mass Ion Calculations'!$C$12-'Mass Ion Calculations'!$C31-'Mass Ion Calculations'!$D$5,'Mass Ion Calculations'!$F$15+'AA Exact Masses'!$Q$3-'Mass Ion Calculations'!$E$12-'Mass Ion Calculations'!$E31-'Mass Ion Calculations'!$D$5)))</f>
        <v/>
      </c>
      <c r="K30" s="3" t="str">
        <f>IF(OR($B30="",K$3=""),"",IF('Mass Ion Calculations'!$D$6="Yes",IF('Mass Ion Calculations'!$D$7="Yes",'Mass Ion Calculations'!$D$18+'AA Exact Masses'!$Q$3-'Mass Ion Calculations'!$C$13-'Mass Ion Calculations'!$C31-'Mass Ion Calculations'!$D$5,'Mass Ion Calculations'!$F$18+'AA Exact Masses'!$Q$3-'Mass Ion Calculations'!$E$14-'Mass Ion Calculations'!$E31-'Mass Ion Calculations'!$D$5),IF('Mass Ion Calculations'!$D$7="Yes", 'Mass Ion Calculations'!$D$15+'AA Exact Masses'!$Q$3-'Mass Ion Calculations'!$C$13-'Mass Ion Calculations'!$C31-'Mass Ion Calculations'!$D$5,'Mass Ion Calculations'!$F$15+'AA Exact Masses'!$Q$3-'Mass Ion Calculations'!$E$14-'Mass Ion Calculations'!$E31-'Mass Ion Calculations'!$D$5)))</f>
        <v/>
      </c>
      <c r="L30" s="3" t="str">
        <f>IF(OR($B30="",L$3=""),"",IF('Mass Ion Calculations'!$D$6="Yes",IF('Mass Ion Calculations'!$D$7="Yes",'Mass Ion Calculations'!$D$18+'AA Exact Masses'!$Q$3-'Mass Ion Calculations'!$C$14-'Mass Ion Calculations'!$C31-'Mass Ion Calculations'!$D$5,'Mass Ion Calculations'!$F$18+'AA Exact Masses'!$Q$3-'Mass Ion Calculations'!$E$15-'Mass Ion Calculations'!$E31-'Mass Ion Calculations'!$D$5),IF('Mass Ion Calculations'!$D$7="Yes", 'Mass Ion Calculations'!$D$15+'AA Exact Masses'!$Q$3-'Mass Ion Calculations'!$C$14-'Mass Ion Calculations'!$C31-'Mass Ion Calculations'!$D$5,'Mass Ion Calculations'!$F$15+'AA Exact Masses'!$Q$3-'Mass Ion Calculations'!$E$15-'Mass Ion Calculations'!$E31-'Mass Ion Calculations'!$D$5)))</f>
        <v/>
      </c>
      <c r="M30" s="3" t="str">
        <f>IF(OR($B30="",M$3=""),"",IF('Mass Ion Calculations'!$D$6="Yes",IF('Mass Ion Calculations'!$D$7="Yes",'Mass Ion Calculations'!$D$18+'AA Exact Masses'!$Q$3-'Mass Ion Calculations'!$C$15-'Mass Ion Calculations'!$C31-'Mass Ion Calculations'!$D$5,'Mass Ion Calculations'!$F$18+'AA Exact Masses'!$Q$3-'Mass Ion Calculations'!$E$16-'Mass Ion Calculations'!$E31-'Mass Ion Calculations'!$D$5),IF('Mass Ion Calculations'!$D$7="Yes", 'Mass Ion Calculations'!$D$15+'AA Exact Masses'!$Q$3-'Mass Ion Calculations'!$C$15-'Mass Ion Calculations'!$C31-'Mass Ion Calculations'!$D$5,'Mass Ion Calculations'!$F$15+'AA Exact Masses'!$Q$3-'Mass Ion Calculations'!$E$16-'Mass Ion Calculations'!$E31-'Mass Ion Calculations'!$D$5)))</f>
        <v/>
      </c>
      <c r="N30" s="3" t="str">
        <f>IF(OR($B30="",N$3=""),"",IF('Mass Ion Calculations'!$D$6="Yes",IF('Mass Ion Calculations'!$D$7="Yes",'Mass Ion Calculations'!$D$18+'AA Exact Masses'!$Q$3-'Mass Ion Calculations'!$C$16-'Mass Ion Calculations'!$C31-'Mass Ion Calculations'!$D$5,'Mass Ion Calculations'!$F$18+'AA Exact Masses'!$Q$3-'Mass Ion Calculations'!$E$17-'Mass Ion Calculations'!$E31-'Mass Ion Calculations'!$D$5),IF('Mass Ion Calculations'!$D$7="Yes", 'Mass Ion Calculations'!$D$15+'AA Exact Masses'!$Q$3-'Mass Ion Calculations'!$C$16-'Mass Ion Calculations'!$C31-'Mass Ion Calculations'!$D$5,'Mass Ion Calculations'!$F$15+'AA Exact Masses'!$Q$3-'Mass Ion Calculations'!$E$17-'Mass Ion Calculations'!$E31-'Mass Ion Calculations'!$D$5)))</f>
        <v/>
      </c>
      <c r="O30" s="3" t="str">
        <f>IF(OR($B30="",O$3=""),"",IF('Mass Ion Calculations'!$D$6="Yes",IF('Mass Ion Calculations'!$D$7="Yes",'Mass Ion Calculations'!$D$18+'AA Exact Masses'!$Q$3-'Mass Ion Calculations'!$C$17-'Mass Ion Calculations'!$C31-'Mass Ion Calculations'!$D$5,'Mass Ion Calculations'!$F$18+'AA Exact Masses'!$Q$3-'Mass Ion Calculations'!$E$18-'Mass Ion Calculations'!$E31-'Mass Ion Calculations'!$D$5),IF('Mass Ion Calculations'!$D$7="Yes", 'Mass Ion Calculations'!$D$15+'AA Exact Masses'!$Q$3-'Mass Ion Calculations'!$C$17-'Mass Ion Calculations'!$C31-'Mass Ion Calculations'!$D$5,'Mass Ion Calculations'!$F$15+'AA Exact Masses'!$Q$3-'Mass Ion Calculations'!$E$18-'Mass Ion Calculations'!$E31-'Mass Ion Calculations'!$D$5)))</f>
        <v/>
      </c>
      <c r="P30" s="3" t="str">
        <f>IF(OR($B30="",P$3=""),"",IF('Mass Ion Calculations'!$D$6="Yes",IF('Mass Ion Calculations'!$D$7="Yes",'Mass Ion Calculations'!$D$18+'AA Exact Masses'!$Q$3-'Mass Ion Calculations'!$C$18-'Mass Ion Calculations'!$C31-'Mass Ion Calculations'!$D$5,'Mass Ion Calculations'!$F$18+'AA Exact Masses'!$Q$3-'Mass Ion Calculations'!#REF!-'Mass Ion Calculations'!$E31-'Mass Ion Calculations'!$D$5),IF('Mass Ion Calculations'!$D$7="Yes", 'Mass Ion Calculations'!$D$15+'AA Exact Masses'!$Q$3-'Mass Ion Calculations'!$C$18-'Mass Ion Calculations'!$C31-'Mass Ion Calculations'!$D$5,'Mass Ion Calculations'!$F$15+'AA Exact Masses'!$Q$3-'Mass Ion Calculations'!#REF!-'Mass Ion Calculations'!$E31-'Mass Ion Calculations'!$D$5)))</f>
        <v/>
      </c>
      <c r="Q30" s="3" t="str">
        <f>IF(OR($B30="",Q$3=""),"",IF('Mass Ion Calculations'!$D$6="Yes",IF('Mass Ion Calculations'!$D$7="Yes",'Mass Ion Calculations'!$D$18+'AA Exact Masses'!$Q$3-'Mass Ion Calculations'!$C$19-'Mass Ion Calculations'!$C31-'Mass Ion Calculations'!$D$5,'Mass Ion Calculations'!$F$18+'AA Exact Masses'!$Q$3-'Mass Ion Calculations'!$E$19-'Mass Ion Calculations'!$E31-'Mass Ion Calculations'!$D$5),IF('Mass Ion Calculations'!$D$7="Yes", 'Mass Ion Calculations'!$D$15+'AA Exact Masses'!$Q$3-'Mass Ion Calculations'!$C$19-'Mass Ion Calculations'!$C31-'Mass Ion Calculations'!$D$5,'Mass Ion Calculations'!$F$15+'AA Exact Masses'!$Q$3-'Mass Ion Calculations'!$E$19-'Mass Ion Calculations'!$E31-'Mass Ion Calculations'!$D$5)))</f>
        <v/>
      </c>
      <c r="R30" s="3" t="str">
        <f>IF(OR($B30="",R$3=""),"",IF('Mass Ion Calculations'!$D$6="Yes",IF('Mass Ion Calculations'!$D$7="Yes",'Mass Ion Calculations'!$D$18+'AA Exact Masses'!$Q$3-'Mass Ion Calculations'!$C$20-'Mass Ion Calculations'!$C31-'Mass Ion Calculations'!$D$5,'Mass Ion Calculations'!$F$18+'AA Exact Masses'!$Q$3-'Mass Ion Calculations'!$E$20-'Mass Ion Calculations'!$E31-'Mass Ion Calculations'!$D$5),IF('Mass Ion Calculations'!$D$7="Yes", 'Mass Ion Calculations'!$D$15+'AA Exact Masses'!$Q$3-'Mass Ion Calculations'!$C$20-'Mass Ion Calculations'!$C31-'Mass Ion Calculations'!$D$5,'Mass Ion Calculations'!$F$15+'AA Exact Masses'!$Q$3-'Mass Ion Calculations'!$E$20-'Mass Ion Calculations'!$E31-'Mass Ion Calculations'!$D$5)))</f>
        <v/>
      </c>
      <c r="S30" s="3" t="str">
        <f>IF(OR($B30="",S$3=""),"",IF('Mass Ion Calculations'!$D$6="Yes",IF('Mass Ion Calculations'!$D$7="Yes",'Mass Ion Calculations'!$D$18+'AA Exact Masses'!$Q$3-'Mass Ion Calculations'!$C$21-'Mass Ion Calculations'!$C31-'Mass Ion Calculations'!$D$5,'Mass Ion Calculations'!$F$18+'AA Exact Masses'!$Q$3-'Mass Ion Calculations'!$E$21-'Mass Ion Calculations'!$E31-'Mass Ion Calculations'!$D$5),IF('Mass Ion Calculations'!$D$7="Yes", 'Mass Ion Calculations'!$D$15+'AA Exact Masses'!$Q$3-'Mass Ion Calculations'!$C$21-'Mass Ion Calculations'!$C31-'Mass Ion Calculations'!$D$5,'Mass Ion Calculations'!$F$15+'AA Exact Masses'!$Q$3-'Mass Ion Calculations'!$E$21-'Mass Ion Calculations'!$E31-'Mass Ion Calculations'!$D$5)))</f>
        <v/>
      </c>
      <c r="T30" s="3" t="str">
        <f>IF(OR($B30="",T$3=""),"",IF('Mass Ion Calculations'!$D$6="Yes",IF('Mass Ion Calculations'!$D$7="Yes",'Mass Ion Calculations'!$D$18+'AA Exact Masses'!$Q$3-'Mass Ion Calculations'!$C$22-'Mass Ion Calculations'!$C31-'Mass Ion Calculations'!$D$5,'Mass Ion Calculations'!$F$18+'AA Exact Masses'!$Q$3-'Mass Ion Calculations'!$E$22-'Mass Ion Calculations'!$E31-'Mass Ion Calculations'!$D$5),IF('Mass Ion Calculations'!$D$7="Yes", 'Mass Ion Calculations'!$D$15+'AA Exact Masses'!$Q$3-'Mass Ion Calculations'!$C$22-'Mass Ion Calculations'!$C31-'Mass Ion Calculations'!$D$5,'Mass Ion Calculations'!$F$15+'AA Exact Masses'!$Q$3-'Mass Ion Calculations'!$E$22-'Mass Ion Calculations'!$E31-'Mass Ion Calculations'!$D$5)))</f>
        <v/>
      </c>
      <c r="U30" s="3" t="str">
        <f>IF(OR($B30="",U$3=""),"",IF('Mass Ion Calculations'!$D$6="Yes",IF('Mass Ion Calculations'!$D$7="Yes",'Mass Ion Calculations'!$D$18+'AA Exact Masses'!$Q$3-'Mass Ion Calculations'!$C$23-'Mass Ion Calculations'!$C31-'Mass Ion Calculations'!$D$5,'Mass Ion Calculations'!$F$18+'AA Exact Masses'!$Q$3-'Mass Ion Calculations'!$E$23-'Mass Ion Calculations'!$E31-'Mass Ion Calculations'!$D$5),IF('Mass Ion Calculations'!$D$7="Yes", 'Mass Ion Calculations'!$D$15+'AA Exact Masses'!$Q$3-'Mass Ion Calculations'!$C$23-'Mass Ion Calculations'!$C31-'Mass Ion Calculations'!$D$5,'Mass Ion Calculations'!$F$15+'AA Exact Masses'!$Q$3-'Mass Ion Calculations'!$E$23-'Mass Ion Calculations'!$E31-'Mass Ion Calculations'!$D$5)))</f>
        <v/>
      </c>
      <c r="V30" s="3" t="str">
        <f>IF(OR($B30="",V$3=""),"",IF('Mass Ion Calculations'!$D$6="Yes",IF('Mass Ion Calculations'!$D$7="Yes",'Mass Ion Calculations'!$D$18+'AA Exact Masses'!$Q$3-'Mass Ion Calculations'!$C$24-'Mass Ion Calculations'!$C31-'Mass Ion Calculations'!$D$5,'Mass Ion Calculations'!$F$18+'AA Exact Masses'!$Q$3-'Mass Ion Calculations'!$E$24-'Mass Ion Calculations'!$E31-'Mass Ion Calculations'!$D$5),IF('Mass Ion Calculations'!$D$7="Yes", 'Mass Ion Calculations'!$D$15+'AA Exact Masses'!$Q$3-'Mass Ion Calculations'!$C$24-'Mass Ion Calculations'!$C31-'Mass Ion Calculations'!$D$5,'Mass Ion Calculations'!$F$15+'AA Exact Masses'!$Q$3-'Mass Ion Calculations'!$E$24-'Mass Ion Calculations'!$E31-'Mass Ion Calculations'!$D$5)))</f>
        <v/>
      </c>
      <c r="W30" s="3" t="str">
        <f>IF(OR($B30="",W$3=""),"",IF('Mass Ion Calculations'!$D$6="Yes",IF('Mass Ion Calculations'!$D$7="Yes",'Mass Ion Calculations'!$D$18+'AA Exact Masses'!$Q$3-'Mass Ion Calculations'!$C$25-'Mass Ion Calculations'!$C31-'Mass Ion Calculations'!$D$5,'Mass Ion Calculations'!$F$18+'AA Exact Masses'!$Q$3-'Mass Ion Calculations'!$E$25-'Mass Ion Calculations'!$E31-'Mass Ion Calculations'!$D$5),IF('Mass Ion Calculations'!$D$7="Yes", 'Mass Ion Calculations'!$D$15+'AA Exact Masses'!$Q$3-'Mass Ion Calculations'!$C$25-'Mass Ion Calculations'!$C31-'Mass Ion Calculations'!$D$5,'Mass Ion Calculations'!$F$15+'AA Exact Masses'!$Q$3-'Mass Ion Calculations'!$E$25-'Mass Ion Calculations'!$E31-'Mass Ion Calculations'!$D$5)))</f>
        <v/>
      </c>
      <c r="X30" s="3" t="str">
        <f>IF(OR($B30="",X$3=""),"",IF('Mass Ion Calculations'!$D$6="Yes",IF('Mass Ion Calculations'!$D$7="Yes",'Mass Ion Calculations'!$D$18+'AA Exact Masses'!$Q$3-'Mass Ion Calculations'!$C$26-'Mass Ion Calculations'!$C31-'Mass Ion Calculations'!$D$5,'Mass Ion Calculations'!$F$18+'AA Exact Masses'!$Q$3-'Mass Ion Calculations'!$E$26-'Mass Ion Calculations'!$E31-'Mass Ion Calculations'!$D$5),IF('Mass Ion Calculations'!$D$7="Yes", 'Mass Ion Calculations'!$D$15+'AA Exact Masses'!$Q$3-'Mass Ion Calculations'!$C$26-'Mass Ion Calculations'!$C31-'Mass Ion Calculations'!$D$5,'Mass Ion Calculations'!$F$15+'AA Exact Masses'!$Q$3-'Mass Ion Calculations'!$E$26-'Mass Ion Calculations'!$E31-'Mass Ion Calculations'!$D$5)))</f>
        <v/>
      </c>
      <c r="Y30" s="3" t="str">
        <f>IF(OR($B30="",Y$3=""),"",IF('Mass Ion Calculations'!$D$6="Yes",IF('Mass Ion Calculations'!$D$7="Yes",'Mass Ion Calculations'!$D$18+'AA Exact Masses'!$Q$3-'Mass Ion Calculations'!$C$27-'Mass Ion Calculations'!$C31-'Mass Ion Calculations'!$D$5,'Mass Ion Calculations'!$F$18+'AA Exact Masses'!$Q$3-'Mass Ion Calculations'!$E$27-'Mass Ion Calculations'!$E31-'Mass Ion Calculations'!$D$5),IF('Mass Ion Calculations'!$D$7="Yes", 'Mass Ion Calculations'!$D$15+'AA Exact Masses'!$Q$3-'Mass Ion Calculations'!$C$27-'Mass Ion Calculations'!$C31-'Mass Ion Calculations'!$D$5,'Mass Ion Calculations'!$F$15+'AA Exact Masses'!$Q$3-'Mass Ion Calculations'!$E$27-'Mass Ion Calculations'!$E31-'Mass Ion Calculations'!$D$5)))</f>
        <v/>
      </c>
      <c r="Z30" s="3" t="str">
        <f>IF(OR($B30="",Z$3=""),"",IF('Mass Ion Calculations'!$D$6="Yes",IF('Mass Ion Calculations'!$D$7="Yes",'Mass Ion Calculations'!$D$18+'AA Exact Masses'!$Q$3-'Mass Ion Calculations'!$C$28-'Mass Ion Calculations'!$C31-'Mass Ion Calculations'!$D$5,'Mass Ion Calculations'!$F$18+'AA Exact Masses'!$Q$3-'Mass Ion Calculations'!$E$28-'Mass Ion Calculations'!$E31-'Mass Ion Calculations'!$D$5),IF('Mass Ion Calculations'!$D$7="Yes", 'Mass Ion Calculations'!$D$15+'AA Exact Masses'!$Q$3-'Mass Ion Calculations'!$C$28-'Mass Ion Calculations'!$C31-'Mass Ion Calculations'!$D$5,'Mass Ion Calculations'!$F$15+'AA Exact Masses'!$Q$3-'Mass Ion Calculations'!$E$28-'Mass Ion Calculations'!$E31-'Mass Ion Calculations'!$D$5)))</f>
        <v/>
      </c>
    </row>
    <row r="31" spans="2:26" x14ac:dyDescent="0.25">
      <c r="C31" s="3" t="str">
        <f>IF(OR($B31="",C$3=""),"",IF('Mass Ion Calculations'!$D$6="Yes",IF('Mass Ion Calculations'!$D$7="Yes",'Mass Ion Calculations'!$D$18+'AA Exact Masses'!$Q$3-'Mass Ion Calculations'!$C$5-'Mass Ion Calculations'!$C32-'Mass Ion Calculations'!$D$5,'Mass Ion Calculations'!$F$18+'AA Exact Masses'!$Q$3-'Mass Ion Calculations'!$E$5-'Mass Ion Calculations'!$E32-'Mass Ion Calculations'!$D$5),IF('Mass Ion Calculations'!$D$7="Yes", 'Mass Ion Calculations'!$D$15+'AA Exact Masses'!$Q$3-'Mass Ion Calculations'!$C$5-'Mass Ion Calculations'!$C32-'Mass Ion Calculations'!$D$5,'Mass Ion Calculations'!$F$15+'AA Exact Masses'!$Q$3-'Mass Ion Calculations'!$E$5-'Mass Ion Calculations'!$E32-'Mass Ion Calculations'!$D$5)))</f>
        <v/>
      </c>
      <c r="D31" s="3" t="str">
        <f>IF(OR($B31="",D$3=""),"",IF('Mass Ion Calculations'!$D$6="Yes",IF('Mass Ion Calculations'!$D$7="Yes",'Mass Ion Calculations'!$D$18+'AA Exact Masses'!$Q$3-'Mass Ion Calculations'!$C$6-'Mass Ion Calculations'!$C32-'Mass Ion Calculations'!$D$5,'Mass Ion Calculations'!$F$18+'AA Exact Masses'!$Q$3-'Mass Ion Calculations'!$E$6-'Mass Ion Calculations'!$E32-'Mass Ion Calculations'!$D$5),IF('Mass Ion Calculations'!$D$7="Yes", 'Mass Ion Calculations'!$D$15+'AA Exact Masses'!$Q$3-'Mass Ion Calculations'!$C$6-'Mass Ion Calculations'!$C32-'Mass Ion Calculations'!$D$5,'Mass Ion Calculations'!$F$15+'AA Exact Masses'!$Q$3-'Mass Ion Calculations'!$E$6-'Mass Ion Calculations'!$E32-'Mass Ion Calculations'!$D$5)))</f>
        <v/>
      </c>
      <c r="E31" s="3" t="str">
        <f>IF(OR($B31="",E$3=""),"",IF('Mass Ion Calculations'!$D$6="Yes",IF('Mass Ion Calculations'!$D$7="Yes",'Mass Ion Calculations'!$D$18+'AA Exact Masses'!$Q$3-'Mass Ion Calculations'!$C$7-'Mass Ion Calculations'!$C32-'Mass Ion Calculations'!$D$5,'Mass Ion Calculations'!$F$18+'AA Exact Masses'!$Q$3-'Mass Ion Calculations'!$E$7-'Mass Ion Calculations'!$E32-'Mass Ion Calculations'!$D$5),IF('Mass Ion Calculations'!$D$7="Yes", 'Mass Ion Calculations'!$D$15+'AA Exact Masses'!$Q$3-'Mass Ion Calculations'!$C$7-'Mass Ion Calculations'!$C32-'Mass Ion Calculations'!$D$5,'Mass Ion Calculations'!$F$15+'AA Exact Masses'!$Q$3-'Mass Ion Calculations'!$E$7-'Mass Ion Calculations'!$E32-'Mass Ion Calculations'!$D$5)))</f>
        <v/>
      </c>
      <c r="F31" s="3" t="str">
        <f>IF(OR($B31="",F$3=""),"",IF('Mass Ion Calculations'!$D$6="Yes",IF('Mass Ion Calculations'!$D$7="Yes",'Mass Ion Calculations'!$D$18+'AA Exact Masses'!$Q$3-'Mass Ion Calculations'!$C$8-'Mass Ion Calculations'!$C32-'Mass Ion Calculations'!$D$5,'Mass Ion Calculations'!$F$18+'AA Exact Masses'!$Q$3-'Mass Ion Calculations'!$E$8-'Mass Ion Calculations'!$E32-'Mass Ion Calculations'!$D$5),IF('Mass Ion Calculations'!$D$7="Yes", 'Mass Ion Calculations'!$D$15+'AA Exact Masses'!$Q$3-'Mass Ion Calculations'!$C$8-'Mass Ion Calculations'!$C32-'Mass Ion Calculations'!$D$5,'Mass Ion Calculations'!$F$15+'AA Exact Masses'!$Q$3-'Mass Ion Calculations'!$E$8-'Mass Ion Calculations'!$E32-'Mass Ion Calculations'!$D$5)))</f>
        <v/>
      </c>
      <c r="G31" s="3" t="str">
        <f>IF(OR($B31="",G$3=""),"",IF('Mass Ion Calculations'!$D$6="Yes",IF('Mass Ion Calculations'!$D$7="Yes",'Mass Ion Calculations'!$D$18+'AA Exact Masses'!$Q$3-'Mass Ion Calculations'!$C$9-'Mass Ion Calculations'!$C32-'Mass Ion Calculations'!$D$5,'Mass Ion Calculations'!$F$18+'AA Exact Masses'!$Q$3-'Mass Ion Calculations'!$E$9-'Mass Ion Calculations'!$E32-'Mass Ion Calculations'!$D$5),IF('Mass Ion Calculations'!$D$7="Yes", 'Mass Ion Calculations'!$D$15+'AA Exact Masses'!$Q$3-'Mass Ion Calculations'!$C$9-'Mass Ion Calculations'!$C32-'Mass Ion Calculations'!$D$5,'Mass Ion Calculations'!$F$15+'AA Exact Masses'!$Q$3-'Mass Ion Calculations'!$E$9-'Mass Ion Calculations'!$E32-'Mass Ion Calculations'!$D$5)))</f>
        <v/>
      </c>
      <c r="H31" s="3" t="str">
        <f>IF(OR($B31="",H$3=""),"",IF('Mass Ion Calculations'!$D$6="Yes",IF('Mass Ion Calculations'!$D$7="Yes",'Mass Ion Calculations'!$D$18+'AA Exact Masses'!$Q$3-'Mass Ion Calculations'!$C$10-'Mass Ion Calculations'!$C32-'Mass Ion Calculations'!$D$5,'Mass Ion Calculations'!$F$18+'AA Exact Masses'!$Q$3-'Mass Ion Calculations'!$E$10-'Mass Ion Calculations'!$E32-'Mass Ion Calculations'!$D$5),IF('Mass Ion Calculations'!$D$7="Yes", 'Mass Ion Calculations'!$D$15+'AA Exact Masses'!$Q$3-'Mass Ion Calculations'!$C$10-'Mass Ion Calculations'!$C32-'Mass Ion Calculations'!$D$5,'Mass Ion Calculations'!$F$15+'AA Exact Masses'!$Q$3-'Mass Ion Calculations'!$E$10-'Mass Ion Calculations'!$E32-'Mass Ion Calculations'!$D$5)))</f>
        <v/>
      </c>
      <c r="I31" s="3" t="str">
        <f>IF(OR($B31="",I$3=""),"",IF('Mass Ion Calculations'!$D$6="Yes",IF('Mass Ion Calculations'!$D$7="Yes",'Mass Ion Calculations'!$D$18+'AA Exact Masses'!$Q$3-'Mass Ion Calculations'!$C$11-'Mass Ion Calculations'!$C32-'Mass Ion Calculations'!$D$5,'Mass Ion Calculations'!$F$18+'AA Exact Masses'!$Q$3-'Mass Ion Calculations'!$E$11-'Mass Ion Calculations'!$E32-'Mass Ion Calculations'!$D$5),IF('Mass Ion Calculations'!$D$7="Yes", 'Mass Ion Calculations'!$D$15+'AA Exact Masses'!$Q$3-'Mass Ion Calculations'!$C$11-'Mass Ion Calculations'!$C32-'Mass Ion Calculations'!$D$5,'Mass Ion Calculations'!$F$15+'AA Exact Masses'!$Q$3-'Mass Ion Calculations'!$E$11-'Mass Ion Calculations'!$E32-'Mass Ion Calculations'!$D$5)))</f>
        <v/>
      </c>
      <c r="J31" s="3" t="str">
        <f>IF(OR($B31="",J$3=""),"",IF('Mass Ion Calculations'!$D$6="Yes",IF('Mass Ion Calculations'!$D$7="Yes",'Mass Ion Calculations'!$D$18+'AA Exact Masses'!$Q$3-'Mass Ion Calculations'!$C$12-'Mass Ion Calculations'!$C32-'Mass Ion Calculations'!$D$5,'Mass Ion Calculations'!$F$18+'AA Exact Masses'!$Q$3-'Mass Ion Calculations'!$E$12-'Mass Ion Calculations'!$E32-'Mass Ion Calculations'!$D$5),IF('Mass Ion Calculations'!$D$7="Yes", 'Mass Ion Calculations'!$D$15+'AA Exact Masses'!$Q$3-'Mass Ion Calculations'!$C$12-'Mass Ion Calculations'!$C32-'Mass Ion Calculations'!$D$5,'Mass Ion Calculations'!$F$15+'AA Exact Masses'!$Q$3-'Mass Ion Calculations'!$E$12-'Mass Ion Calculations'!$E32-'Mass Ion Calculations'!$D$5)))</f>
        <v/>
      </c>
      <c r="K31" s="3" t="str">
        <f>IF(OR($B31="",K$3=""),"",IF('Mass Ion Calculations'!$D$6="Yes",IF('Mass Ion Calculations'!$D$7="Yes",'Mass Ion Calculations'!$D$18+'AA Exact Masses'!$Q$3-'Mass Ion Calculations'!$C$13-'Mass Ion Calculations'!$C32-'Mass Ion Calculations'!$D$5,'Mass Ion Calculations'!$F$18+'AA Exact Masses'!$Q$3-'Mass Ion Calculations'!$E$14-'Mass Ion Calculations'!$E32-'Mass Ion Calculations'!$D$5),IF('Mass Ion Calculations'!$D$7="Yes", 'Mass Ion Calculations'!$D$15+'AA Exact Masses'!$Q$3-'Mass Ion Calculations'!$C$13-'Mass Ion Calculations'!$C32-'Mass Ion Calculations'!$D$5,'Mass Ion Calculations'!$F$15+'AA Exact Masses'!$Q$3-'Mass Ion Calculations'!$E$14-'Mass Ion Calculations'!$E32-'Mass Ion Calculations'!$D$5)))</f>
        <v/>
      </c>
      <c r="L31" s="3" t="str">
        <f>IF(OR($B31="",L$3=""),"",IF('Mass Ion Calculations'!$D$6="Yes",IF('Mass Ion Calculations'!$D$7="Yes",'Mass Ion Calculations'!$D$18+'AA Exact Masses'!$Q$3-'Mass Ion Calculations'!$C$14-'Mass Ion Calculations'!$C32-'Mass Ion Calculations'!$D$5,'Mass Ion Calculations'!$F$18+'AA Exact Masses'!$Q$3-'Mass Ion Calculations'!$E$15-'Mass Ion Calculations'!$E32-'Mass Ion Calculations'!$D$5),IF('Mass Ion Calculations'!$D$7="Yes", 'Mass Ion Calculations'!$D$15+'AA Exact Masses'!$Q$3-'Mass Ion Calculations'!$C$14-'Mass Ion Calculations'!$C32-'Mass Ion Calculations'!$D$5,'Mass Ion Calculations'!$F$15+'AA Exact Masses'!$Q$3-'Mass Ion Calculations'!$E$15-'Mass Ion Calculations'!$E32-'Mass Ion Calculations'!$D$5)))</f>
        <v/>
      </c>
      <c r="M31" s="3" t="str">
        <f>IF(OR($B31="",M$3=""),"",IF('Mass Ion Calculations'!$D$6="Yes",IF('Mass Ion Calculations'!$D$7="Yes",'Mass Ion Calculations'!$D$18+'AA Exact Masses'!$Q$3-'Mass Ion Calculations'!$C$15-'Mass Ion Calculations'!$C32-'Mass Ion Calculations'!$D$5,'Mass Ion Calculations'!$F$18+'AA Exact Masses'!$Q$3-'Mass Ion Calculations'!$E$16-'Mass Ion Calculations'!$E32-'Mass Ion Calculations'!$D$5),IF('Mass Ion Calculations'!$D$7="Yes", 'Mass Ion Calculations'!$D$15+'AA Exact Masses'!$Q$3-'Mass Ion Calculations'!$C$15-'Mass Ion Calculations'!$C32-'Mass Ion Calculations'!$D$5,'Mass Ion Calculations'!$F$15+'AA Exact Masses'!$Q$3-'Mass Ion Calculations'!$E$16-'Mass Ion Calculations'!$E32-'Mass Ion Calculations'!$D$5)))</f>
        <v/>
      </c>
      <c r="N31" s="3" t="str">
        <f>IF(OR($B31="",N$3=""),"",IF('Mass Ion Calculations'!$D$6="Yes",IF('Mass Ion Calculations'!$D$7="Yes",'Mass Ion Calculations'!$D$18+'AA Exact Masses'!$Q$3-'Mass Ion Calculations'!$C$16-'Mass Ion Calculations'!$C32-'Mass Ion Calculations'!$D$5,'Mass Ion Calculations'!$F$18+'AA Exact Masses'!$Q$3-'Mass Ion Calculations'!$E$17-'Mass Ion Calculations'!$E32-'Mass Ion Calculations'!$D$5),IF('Mass Ion Calculations'!$D$7="Yes", 'Mass Ion Calculations'!$D$15+'AA Exact Masses'!$Q$3-'Mass Ion Calculations'!$C$16-'Mass Ion Calculations'!$C32-'Mass Ion Calculations'!$D$5,'Mass Ion Calculations'!$F$15+'AA Exact Masses'!$Q$3-'Mass Ion Calculations'!$E$17-'Mass Ion Calculations'!$E32-'Mass Ion Calculations'!$D$5)))</f>
        <v/>
      </c>
      <c r="O31" s="3" t="str">
        <f>IF(OR($B31="",O$3=""),"",IF('Mass Ion Calculations'!$D$6="Yes",IF('Mass Ion Calculations'!$D$7="Yes",'Mass Ion Calculations'!$D$18+'AA Exact Masses'!$Q$3-'Mass Ion Calculations'!$C$17-'Mass Ion Calculations'!$C32-'Mass Ion Calculations'!$D$5,'Mass Ion Calculations'!$F$18+'AA Exact Masses'!$Q$3-'Mass Ion Calculations'!$E$18-'Mass Ion Calculations'!$E32-'Mass Ion Calculations'!$D$5),IF('Mass Ion Calculations'!$D$7="Yes", 'Mass Ion Calculations'!$D$15+'AA Exact Masses'!$Q$3-'Mass Ion Calculations'!$C$17-'Mass Ion Calculations'!$C32-'Mass Ion Calculations'!$D$5,'Mass Ion Calculations'!$F$15+'AA Exact Masses'!$Q$3-'Mass Ion Calculations'!$E$18-'Mass Ion Calculations'!$E32-'Mass Ion Calculations'!$D$5)))</f>
        <v/>
      </c>
      <c r="P31" s="3" t="str">
        <f>IF(OR($B31="",P$3=""),"",IF('Mass Ion Calculations'!$D$6="Yes",IF('Mass Ion Calculations'!$D$7="Yes",'Mass Ion Calculations'!$D$18+'AA Exact Masses'!$Q$3-'Mass Ion Calculations'!$C$18-'Mass Ion Calculations'!$C32-'Mass Ion Calculations'!$D$5,'Mass Ion Calculations'!$F$18+'AA Exact Masses'!$Q$3-'Mass Ion Calculations'!$C$18-'Mass Ion Calculations'!$C32-'Mass Ion Calculations'!$D$5),IF('Mass Ion Calculations'!$D$7="Yes", 'Mass Ion Calculations'!$D$15+'AA Exact Masses'!$Q$3-'Mass Ion Calculations'!$C$18-'Mass Ion Calculations'!$C32-'Mass Ion Calculations'!$D$5,'Mass Ion Calculations'!$F$15+'AA Exact Masses'!$Q$3-'Mass Ion Calculations'!$C$18-'Mass Ion Calculations'!$C32-'Mass Ion Calculations'!$D$5)))</f>
        <v/>
      </c>
      <c r="Q31" s="3" t="str">
        <f>IF(OR($B31="",Q$3=""),"",IF('Mass Ion Calculations'!$D$6="Yes",IF('Mass Ion Calculations'!$D$7="Yes",'Mass Ion Calculations'!$D$18+'AA Exact Masses'!$Q$3-'Mass Ion Calculations'!$C$19-'Mass Ion Calculations'!$C32-'Mass Ion Calculations'!$D$5,'Mass Ion Calculations'!$F$18+'AA Exact Masses'!$Q$3-'Mass Ion Calculations'!$C$19-'Mass Ion Calculations'!$C32-'Mass Ion Calculations'!$D$5),IF('Mass Ion Calculations'!$D$7="Yes", 'Mass Ion Calculations'!$D$15+'AA Exact Masses'!$Q$3-'Mass Ion Calculations'!$C$19-'Mass Ion Calculations'!$C32-'Mass Ion Calculations'!$D$5,'Mass Ion Calculations'!$F$15+'AA Exact Masses'!$Q$3-'Mass Ion Calculations'!$C$19-'Mass Ion Calculations'!$C32-'Mass Ion Calculations'!$D$5)))</f>
        <v/>
      </c>
      <c r="R31" s="3" t="str">
        <f>IF(OR($B31="",R$3=""),"",IF('Mass Ion Calculations'!$D$6="Yes",IF('Mass Ion Calculations'!$D$7="Yes",'Mass Ion Calculations'!$D$18+'AA Exact Masses'!$Q$3-'Mass Ion Calculations'!$C$20-'Mass Ion Calculations'!$C32-'Mass Ion Calculations'!$D$5,'Mass Ion Calculations'!$F$18+'AA Exact Masses'!$Q$3-'Mass Ion Calculations'!$C$20-'Mass Ion Calculations'!$C32-'Mass Ion Calculations'!$D$5),IF('Mass Ion Calculations'!$D$7="Yes", 'Mass Ion Calculations'!$D$15+'AA Exact Masses'!$Q$3-'Mass Ion Calculations'!$C$20-'Mass Ion Calculations'!$C32-'Mass Ion Calculations'!$D$5,'Mass Ion Calculations'!$F$15+'AA Exact Masses'!$Q$3-'Mass Ion Calculations'!$C$20-'Mass Ion Calculations'!$C32-'Mass Ion Calculations'!$D$5)))</f>
        <v/>
      </c>
      <c r="S31" s="3" t="str">
        <f>IF(OR($B31="",S$3=""),"",IF('Mass Ion Calculations'!$D$6="Yes",IF('Mass Ion Calculations'!$D$7="Yes",'Mass Ion Calculations'!$D$18+'AA Exact Masses'!$Q$3-'Mass Ion Calculations'!$C$21-'Mass Ion Calculations'!$C32-'Mass Ion Calculations'!$D$5,'Mass Ion Calculations'!$F$18+'AA Exact Masses'!$Q$3-'Mass Ion Calculations'!$C$21-'Mass Ion Calculations'!$C32-'Mass Ion Calculations'!$D$5),IF('Mass Ion Calculations'!$D$7="Yes", 'Mass Ion Calculations'!$D$15+'AA Exact Masses'!$Q$3-'Mass Ion Calculations'!$C$21-'Mass Ion Calculations'!$C32-'Mass Ion Calculations'!$D$5,'Mass Ion Calculations'!$F$15+'AA Exact Masses'!$Q$3-'Mass Ion Calculations'!$C$21-'Mass Ion Calculations'!$C32-'Mass Ion Calculations'!$D$5)))</f>
        <v/>
      </c>
      <c r="T31" s="3" t="str">
        <f>IF(OR($B31="",T$3=""),"",IF('Mass Ion Calculations'!$D$6="Yes",IF('Mass Ion Calculations'!$D$7="Yes",'Mass Ion Calculations'!$D$18+'AA Exact Masses'!$Q$3-'Mass Ion Calculations'!$C$22-'Mass Ion Calculations'!$C32-'Mass Ion Calculations'!$D$5,'Mass Ion Calculations'!$F$18+'AA Exact Masses'!$Q$3-'Mass Ion Calculations'!$C$22-'Mass Ion Calculations'!$C32-'Mass Ion Calculations'!$D$5),IF('Mass Ion Calculations'!$D$7="Yes", 'Mass Ion Calculations'!$D$15+'AA Exact Masses'!$Q$3-'Mass Ion Calculations'!$C$22-'Mass Ion Calculations'!$C32-'Mass Ion Calculations'!$D$5,'Mass Ion Calculations'!$F$15+'AA Exact Masses'!$Q$3-'Mass Ion Calculations'!$C$22-'Mass Ion Calculations'!$C32-'Mass Ion Calculations'!$D$5)))</f>
        <v/>
      </c>
      <c r="U31" s="3" t="str">
        <f>IF(OR($B31="",U$3=""),"",IF('Mass Ion Calculations'!$D$6="Yes",IF('Mass Ion Calculations'!$D$7="Yes",'Mass Ion Calculations'!$D$18+'AA Exact Masses'!$Q$3-'Mass Ion Calculations'!$C$23-'Mass Ion Calculations'!$C32-'Mass Ion Calculations'!$D$5,'Mass Ion Calculations'!$F$18+'AA Exact Masses'!$Q$3-'Mass Ion Calculations'!$C$23-'Mass Ion Calculations'!$C32-'Mass Ion Calculations'!$D$5),IF('Mass Ion Calculations'!$D$7="Yes", 'Mass Ion Calculations'!$D$15+'AA Exact Masses'!$Q$3-'Mass Ion Calculations'!$C$23-'Mass Ion Calculations'!$C32-'Mass Ion Calculations'!$D$5,'Mass Ion Calculations'!$F$15+'AA Exact Masses'!$Q$3-'Mass Ion Calculations'!$C$23-'Mass Ion Calculations'!$C32-'Mass Ion Calculations'!$D$5)))</f>
        <v/>
      </c>
      <c r="V31" s="3" t="str">
        <f>IF(OR($B31="",V$3=""),"",IF('Mass Ion Calculations'!$D$6="Yes",IF('Mass Ion Calculations'!$D$7="Yes",'Mass Ion Calculations'!$D$18+'AA Exact Masses'!$Q$3-'Mass Ion Calculations'!$C$24-'Mass Ion Calculations'!$C32-'Mass Ion Calculations'!$D$5,'Mass Ion Calculations'!$F$18+'AA Exact Masses'!$Q$3-'Mass Ion Calculations'!$C$24-'Mass Ion Calculations'!$C32-'Mass Ion Calculations'!$D$5),IF('Mass Ion Calculations'!$D$7="Yes", 'Mass Ion Calculations'!$D$15+'AA Exact Masses'!$Q$3-'Mass Ion Calculations'!$C$24-'Mass Ion Calculations'!$C32-'Mass Ion Calculations'!$D$5,'Mass Ion Calculations'!$F$15+'AA Exact Masses'!$Q$3-'Mass Ion Calculations'!$C$24-'Mass Ion Calculations'!$C32-'Mass Ion Calculations'!$D$5)))</f>
        <v/>
      </c>
      <c r="W31" s="3" t="str">
        <f>IF(OR($B31="",W$3=""),"",IF('Mass Ion Calculations'!$D$6="Yes",IF('Mass Ion Calculations'!$D$7="Yes",'Mass Ion Calculations'!$D$18+'AA Exact Masses'!$Q$3-'Mass Ion Calculations'!$C$25-'Mass Ion Calculations'!$C32-'Mass Ion Calculations'!$D$5,'Mass Ion Calculations'!$F$18+'AA Exact Masses'!$Q$3-'Mass Ion Calculations'!$C$25-'Mass Ion Calculations'!$C32-'Mass Ion Calculations'!$D$5),IF('Mass Ion Calculations'!$D$7="Yes", 'Mass Ion Calculations'!$D$15+'AA Exact Masses'!$Q$3-'Mass Ion Calculations'!$C$25-'Mass Ion Calculations'!$C32-'Mass Ion Calculations'!$D$5,'Mass Ion Calculations'!$F$15+'AA Exact Masses'!$Q$3-'Mass Ion Calculations'!$C$25-'Mass Ion Calculations'!$C32-'Mass Ion Calculations'!$D$5)))</f>
        <v/>
      </c>
      <c r="X31" s="3" t="str">
        <f>IF(OR($B31="",X$3=""),"",IF('Mass Ion Calculations'!$D$6="Yes",IF('Mass Ion Calculations'!$D$7="Yes",'Mass Ion Calculations'!$D$18+'AA Exact Masses'!$Q$3-'Mass Ion Calculations'!$C$26-'Mass Ion Calculations'!$C32-'Mass Ion Calculations'!$D$5,'Mass Ion Calculations'!$F$18+'AA Exact Masses'!$Q$3-'Mass Ion Calculations'!$C$26-'Mass Ion Calculations'!$C32-'Mass Ion Calculations'!$D$5),IF('Mass Ion Calculations'!$D$7="Yes", 'Mass Ion Calculations'!$D$15+'AA Exact Masses'!$Q$3-'Mass Ion Calculations'!$C$26-'Mass Ion Calculations'!$C32-'Mass Ion Calculations'!$D$5,'Mass Ion Calculations'!$F$15+'AA Exact Masses'!$Q$3-'Mass Ion Calculations'!$C$26-'Mass Ion Calculations'!$C32-'Mass Ion Calculations'!$D$5)))</f>
        <v/>
      </c>
      <c r="Y31" s="3" t="str">
        <f>IF(OR($B31="",Y$3=""),"",IF('Mass Ion Calculations'!$D$6="Yes",('Mass Ion Calculations'!$D$15+'AA Exact Masses'!$Q$3-'Mass Ion Calculations'!$C$7-'Mass Ion Calculations'!$C32-'Mass Ion Calculations'!$D$5-18.01),('Mass Ion Calculations'!$D$15+'AA Exact Masses'!$Q$3-'Mass Ion Calculations'!$C$7-'Mass Ion Calculations'!$C32-'Mass Ion Calculations'!$D$5)))</f>
        <v/>
      </c>
      <c r="Z31" s="3" t="str">
        <f>IF(OR($B31="",Z$3=""),"",IF('Mass Ion Calculations'!$D$6="Yes",('Mass Ion Calculations'!$D$15+'AA Exact Masses'!$Q$3-'Mass Ion Calculations'!$C$7-'Mass Ion Calculations'!$C32-'Mass Ion Calculations'!$D$5-18.01),('Mass Ion Calculations'!$D$15+'AA Exact Masses'!$Q$3-'Mass Ion Calculations'!$C$7-'Mass Ion Calculations'!$C32-'Mass Ion Calculations'!$D$5)))</f>
        <v/>
      </c>
    </row>
    <row r="32" spans="2:26" x14ac:dyDescent="0.25">
      <c r="C32" s="3" t="str">
        <f>IF(OR($B32="",C$3=""),"",IF('Mass Ion Calculations'!$D$6="Yes",IF('Mass Ion Calculations'!$D$7="Yes",'Mass Ion Calculations'!$D$18+'AA Exact Masses'!$Q$3-'Mass Ion Calculations'!$C$5-'Mass Ion Calculations'!$C33-'Mass Ion Calculations'!$D$5,'Mass Ion Calculations'!$F$18+'AA Exact Masses'!$Q$3-'Mass Ion Calculations'!$E$5-'Mass Ion Calculations'!$E33-'Mass Ion Calculations'!$D$5),IF('Mass Ion Calculations'!$D$7="Yes", 'Mass Ion Calculations'!$D$15+'AA Exact Masses'!$Q$3-'Mass Ion Calculations'!$C$5-'Mass Ion Calculations'!$C33-'Mass Ion Calculations'!$D$5,'Mass Ion Calculations'!$F$15+'AA Exact Masses'!$Q$3-'Mass Ion Calculations'!$E$5-'Mass Ion Calculations'!$E33-'Mass Ion Calculations'!$D$5)))</f>
        <v/>
      </c>
      <c r="D32" s="3" t="str">
        <f>IF(OR($B32="",D$3=""),"",IF('Mass Ion Calculations'!$D$6="Yes",IF('Mass Ion Calculations'!$D$7="Yes",'Mass Ion Calculations'!$D$18+'AA Exact Masses'!$Q$3-'Mass Ion Calculations'!$C$6-'Mass Ion Calculations'!$C33-'Mass Ion Calculations'!$D$5,'Mass Ion Calculations'!$F$18+'AA Exact Masses'!$Q$3-'Mass Ion Calculations'!$E$6-'Mass Ion Calculations'!$E33-'Mass Ion Calculations'!$D$5),IF('Mass Ion Calculations'!$D$7="Yes", 'Mass Ion Calculations'!$D$15+'AA Exact Masses'!$Q$3-'Mass Ion Calculations'!$C$6-'Mass Ion Calculations'!$C33-'Mass Ion Calculations'!$D$5,'Mass Ion Calculations'!$F$15+'AA Exact Masses'!$Q$3-'Mass Ion Calculations'!$E$6-'Mass Ion Calculations'!$E33-'Mass Ion Calculations'!$D$5)))</f>
        <v/>
      </c>
      <c r="E32" s="3" t="str">
        <f>IF(OR($B32="",E$3=""),"",IF('Mass Ion Calculations'!$D$6="Yes",IF('Mass Ion Calculations'!$D$7="Yes",'Mass Ion Calculations'!$D$18+'AA Exact Masses'!$Q$3-'Mass Ion Calculations'!$C$7-'Mass Ion Calculations'!$C33-'Mass Ion Calculations'!$D$5,'Mass Ion Calculations'!$F$18+'AA Exact Masses'!$Q$3-'Mass Ion Calculations'!$E$7-'Mass Ion Calculations'!$E33-'Mass Ion Calculations'!$D$5),IF('Mass Ion Calculations'!$D$7="Yes", 'Mass Ion Calculations'!$D$15+'AA Exact Masses'!$Q$3-'Mass Ion Calculations'!$C$7-'Mass Ion Calculations'!$C33-'Mass Ion Calculations'!$D$5,'Mass Ion Calculations'!$F$15+'AA Exact Masses'!$Q$3-'Mass Ion Calculations'!$E$7-'Mass Ion Calculations'!$E33-'Mass Ion Calculations'!$D$5)))</f>
        <v/>
      </c>
      <c r="F32" s="3" t="str">
        <f>IF(OR($B32="",F$3=""),"",IF('Mass Ion Calculations'!$D$6="Yes",IF('Mass Ion Calculations'!$D$7="Yes",'Mass Ion Calculations'!$D$18+'AA Exact Masses'!$Q$3-'Mass Ion Calculations'!$C$8-'Mass Ion Calculations'!$C33-'Mass Ion Calculations'!$D$5,'Mass Ion Calculations'!$F$18+'AA Exact Masses'!$Q$3-'Mass Ion Calculations'!$E$8-'Mass Ion Calculations'!$E33-'Mass Ion Calculations'!$D$5),IF('Mass Ion Calculations'!$D$7="Yes", 'Mass Ion Calculations'!$D$15+'AA Exact Masses'!$Q$3-'Mass Ion Calculations'!$C$8-'Mass Ion Calculations'!$C33-'Mass Ion Calculations'!$D$5,'Mass Ion Calculations'!$F$15+'AA Exact Masses'!$Q$3-'Mass Ion Calculations'!$E$8-'Mass Ion Calculations'!$E33-'Mass Ion Calculations'!$D$5)))</f>
        <v/>
      </c>
      <c r="G32" s="3" t="str">
        <f>IF(OR($B32="",G$3=""),"",IF('Mass Ion Calculations'!$D$6="Yes",IF('Mass Ion Calculations'!$D$7="Yes",'Mass Ion Calculations'!$D$18+'AA Exact Masses'!$Q$3-'Mass Ion Calculations'!$C$9-'Mass Ion Calculations'!$C33-'Mass Ion Calculations'!$D$5,'Mass Ion Calculations'!$F$18+'AA Exact Masses'!$Q$3-'Mass Ion Calculations'!$E$9-'Mass Ion Calculations'!$E33-'Mass Ion Calculations'!$D$5),IF('Mass Ion Calculations'!$D$7="Yes", 'Mass Ion Calculations'!$D$15+'AA Exact Masses'!$Q$3-'Mass Ion Calculations'!$C$9-'Mass Ion Calculations'!$C33-'Mass Ion Calculations'!$D$5,'Mass Ion Calculations'!$F$15+'AA Exact Masses'!$Q$3-'Mass Ion Calculations'!$E$9-'Mass Ion Calculations'!$E33-'Mass Ion Calculations'!$D$5)))</f>
        <v/>
      </c>
      <c r="H32" s="3" t="str">
        <f>IF(OR($B32="",H$3=""),"",IF('Mass Ion Calculations'!$D$6="Yes",IF('Mass Ion Calculations'!$D$7="Yes",'Mass Ion Calculations'!$D$18+'AA Exact Masses'!$Q$3-'Mass Ion Calculations'!$C$10-'Mass Ion Calculations'!$C33-'Mass Ion Calculations'!$D$5,'Mass Ion Calculations'!$F$18+'AA Exact Masses'!$Q$3-'Mass Ion Calculations'!$E$10-'Mass Ion Calculations'!$E33-'Mass Ion Calculations'!$D$5),IF('Mass Ion Calculations'!$D$7="Yes", 'Mass Ion Calculations'!$D$15+'AA Exact Masses'!$Q$3-'Mass Ion Calculations'!$C$10-'Mass Ion Calculations'!$C33-'Mass Ion Calculations'!$D$5,'Mass Ion Calculations'!$F$15+'AA Exact Masses'!$Q$3-'Mass Ion Calculations'!$E$10-'Mass Ion Calculations'!$E33-'Mass Ion Calculations'!$D$5)))</f>
        <v/>
      </c>
      <c r="I32" s="3" t="str">
        <f>IF(OR($B32="",I$3=""),"",IF('Mass Ion Calculations'!$D$6="Yes",IF('Mass Ion Calculations'!$D$7="Yes",'Mass Ion Calculations'!$D$18+'AA Exact Masses'!$Q$3-'Mass Ion Calculations'!$C$11-'Mass Ion Calculations'!$C33-'Mass Ion Calculations'!$D$5,'Mass Ion Calculations'!$F$18+'AA Exact Masses'!$Q$3-'Mass Ion Calculations'!$E$11-'Mass Ion Calculations'!$E33-'Mass Ion Calculations'!$D$5),IF('Mass Ion Calculations'!$D$7="Yes", 'Mass Ion Calculations'!$D$15+'AA Exact Masses'!$Q$3-'Mass Ion Calculations'!$C$11-'Mass Ion Calculations'!$C33-'Mass Ion Calculations'!$D$5,'Mass Ion Calculations'!$F$15+'AA Exact Masses'!$Q$3-'Mass Ion Calculations'!$E$11-'Mass Ion Calculations'!$E33-'Mass Ion Calculations'!$D$5)))</f>
        <v/>
      </c>
      <c r="J32" s="3" t="str">
        <f>IF(OR($B32="",J$3=""),"",IF('Mass Ion Calculations'!$D$6="Yes",IF('Mass Ion Calculations'!$D$7="Yes",'Mass Ion Calculations'!$D$18+'AA Exact Masses'!$Q$3-'Mass Ion Calculations'!$C$12-'Mass Ion Calculations'!$C33-'Mass Ion Calculations'!$D$5,'Mass Ion Calculations'!$F$18+'AA Exact Masses'!$Q$3-'Mass Ion Calculations'!$E$12-'Mass Ion Calculations'!$E33-'Mass Ion Calculations'!$D$5),IF('Mass Ion Calculations'!$D$7="Yes", 'Mass Ion Calculations'!$D$15+'AA Exact Masses'!$Q$3-'Mass Ion Calculations'!$C$12-'Mass Ion Calculations'!$C33-'Mass Ion Calculations'!$D$5,'Mass Ion Calculations'!$F$15+'AA Exact Masses'!$Q$3-'Mass Ion Calculations'!$E$12-'Mass Ion Calculations'!$E33-'Mass Ion Calculations'!$D$5)))</f>
        <v/>
      </c>
      <c r="K32" s="3" t="str">
        <f>IF(OR($B32="",K$3=""),"",IF('Mass Ion Calculations'!$D$6="Yes",IF('Mass Ion Calculations'!$D$7="Yes",'Mass Ion Calculations'!$D$18+'AA Exact Masses'!$Q$3-'Mass Ion Calculations'!$C$13-'Mass Ion Calculations'!$C33-'Mass Ion Calculations'!$D$5,'Mass Ion Calculations'!$F$18+'AA Exact Masses'!$Q$3-'Mass Ion Calculations'!$E$14-'Mass Ion Calculations'!$E33-'Mass Ion Calculations'!$D$5),IF('Mass Ion Calculations'!$D$7="Yes", 'Mass Ion Calculations'!$D$15+'AA Exact Masses'!$Q$3-'Mass Ion Calculations'!$C$13-'Mass Ion Calculations'!$C33-'Mass Ion Calculations'!$D$5,'Mass Ion Calculations'!$F$15+'AA Exact Masses'!$Q$3-'Mass Ion Calculations'!$E$14-'Mass Ion Calculations'!$E33-'Mass Ion Calculations'!$D$5)))</f>
        <v/>
      </c>
      <c r="L32" s="3" t="str">
        <f>IF(OR($B32="",L$3=""),"",IF('Mass Ion Calculations'!$D$6="Yes",IF('Mass Ion Calculations'!$D$7="Yes",'Mass Ion Calculations'!$D$18+'AA Exact Masses'!$Q$3-'Mass Ion Calculations'!$C$14-'Mass Ion Calculations'!$C33-'Mass Ion Calculations'!$D$5,'Mass Ion Calculations'!$F$18+'AA Exact Masses'!$Q$3-'Mass Ion Calculations'!$E$15-'Mass Ion Calculations'!$E33-'Mass Ion Calculations'!$D$5),IF('Mass Ion Calculations'!$D$7="Yes", 'Mass Ion Calculations'!$D$15+'AA Exact Masses'!$Q$3-'Mass Ion Calculations'!$C$14-'Mass Ion Calculations'!$C33-'Mass Ion Calculations'!$D$5,'Mass Ion Calculations'!$F$15+'AA Exact Masses'!$Q$3-'Mass Ion Calculations'!$E$15-'Mass Ion Calculations'!$E33-'Mass Ion Calculations'!$D$5)))</f>
        <v/>
      </c>
      <c r="M32" s="3" t="str">
        <f>IF(OR($B32="",M$3=""),"",IF('Mass Ion Calculations'!$D$6="Yes",IF('Mass Ion Calculations'!$D$7="Yes",'Mass Ion Calculations'!$D$18+'AA Exact Masses'!$Q$3-'Mass Ion Calculations'!$C$15-'Mass Ion Calculations'!$C33-'Mass Ion Calculations'!$D$5,'Mass Ion Calculations'!$F$18+'AA Exact Masses'!$Q$3-'Mass Ion Calculations'!$E$16-'Mass Ion Calculations'!$E33-'Mass Ion Calculations'!$D$5),IF('Mass Ion Calculations'!$D$7="Yes", 'Mass Ion Calculations'!$D$15+'AA Exact Masses'!$Q$3-'Mass Ion Calculations'!$C$15-'Mass Ion Calculations'!$C33-'Mass Ion Calculations'!$D$5,'Mass Ion Calculations'!$F$15+'AA Exact Masses'!$Q$3-'Mass Ion Calculations'!$E$16-'Mass Ion Calculations'!$E33-'Mass Ion Calculations'!$D$5)))</f>
        <v/>
      </c>
      <c r="N32" s="3" t="str">
        <f>IF(OR($B32="",N$3=""),"",IF('Mass Ion Calculations'!$D$6="Yes",IF('Mass Ion Calculations'!$D$7="Yes",'Mass Ion Calculations'!$D$18+'AA Exact Masses'!$Q$3-'Mass Ion Calculations'!$C$16-'Mass Ion Calculations'!$C33-'Mass Ion Calculations'!$D$5,'Mass Ion Calculations'!$F$18+'AA Exact Masses'!$Q$3-'Mass Ion Calculations'!$E$17-'Mass Ion Calculations'!$E33-'Mass Ion Calculations'!$D$5),IF('Mass Ion Calculations'!$D$7="Yes", 'Mass Ion Calculations'!$D$15+'AA Exact Masses'!$Q$3-'Mass Ion Calculations'!$C$16-'Mass Ion Calculations'!$C33-'Mass Ion Calculations'!$D$5,'Mass Ion Calculations'!$F$15+'AA Exact Masses'!$Q$3-'Mass Ion Calculations'!$E$17-'Mass Ion Calculations'!$E33-'Mass Ion Calculations'!$D$5)))</f>
        <v/>
      </c>
      <c r="O32" s="3" t="str">
        <f>IF(OR($B32="",O$3=""),"",IF('Mass Ion Calculations'!$D$6="Yes",IF('Mass Ion Calculations'!$D$7="Yes",'Mass Ion Calculations'!$D$18+'AA Exact Masses'!$Q$3-'Mass Ion Calculations'!$C$17-'Mass Ion Calculations'!$C33-'Mass Ion Calculations'!$D$5,'Mass Ion Calculations'!$F$18+'AA Exact Masses'!$Q$3-'Mass Ion Calculations'!$E$18-'Mass Ion Calculations'!$E33-'Mass Ion Calculations'!$D$5),IF('Mass Ion Calculations'!$D$7="Yes", 'Mass Ion Calculations'!$D$15+'AA Exact Masses'!$Q$3-'Mass Ion Calculations'!$C$17-'Mass Ion Calculations'!$C33-'Mass Ion Calculations'!$D$5,'Mass Ion Calculations'!$F$15+'AA Exact Masses'!$Q$3-'Mass Ion Calculations'!$E$18-'Mass Ion Calculations'!$E33-'Mass Ion Calculations'!$D$5)))</f>
        <v/>
      </c>
      <c r="P32" s="3" t="str">
        <f>IF(OR($B32="",P$3=""),"",IF('Mass Ion Calculations'!$D$6="Yes",IF('Mass Ion Calculations'!$D$7="Yes",'Mass Ion Calculations'!$D$18+'AA Exact Masses'!$Q$3-'Mass Ion Calculations'!$C$18-'Mass Ion Calculations'!$C33-'Mass Ion Calculations'!$D$5,'Mass Ion Calculations'!$F$18+'AA Exact Masses'!$Q$3-'Mass Ion Calculations'!$C$18-'Mass Ion Calculations'!$C33-'Mass Ion Calculations'!$D$5),IF('Mass Ion Calculations'!$D$7="Yes", 'Mass Ion Calculations'!$D$15+'AA Exact Masses'!$Q$3-'Mass Ion Calculations'!$C$18-'Mass Ion Calculations'!$C33-'Mass Ion Calculations'!$D$5,'Mass Ion Calculations'!$F$15+'AA Exact Masses'!$Q$3-'Mass Ion Calculations'!$C$18-'Mass Ion Calculations'!$C33-'Mass Ion Calculations'!$D$5)))</f>
        <v/>
      </c>
      <c r="Q32" s="3" t="str">
        <f>IF(OR($B32="",Q$3=""),"",IF('Mass Ion Calculations'!$D$6="Yes",IF('Mass Ion Calculations'!$D$7="Yes",'Mass Ion Calculations'!$D$18+'AA Exact Masses'!$Q$3-'Mass Ion Calculations'!$C$19-'Mass Ion Calculations'!$C33-'Mass Ion Calculations'!$D$5,'Mass Ion Calculations'!$F$18+'AA Exact Masses'!$Q$3-'Mass Ion Calculations'!$C$19-'Mass Ion Calculations'!$C33-'Mass Ion Calculations'!$D$5),IF('Mass Ion Calculations'!$D$7="Yes", 'Mass Ion Calculations'!$D$15+'AA Exact Masses'!$Q$3-'Mass Ion Calculations'!$C$19-'Mass Ion Calculations'!$C33-'Mass Ion Calculations'!$D$5,'Mass Ion Calculations'!$F$15+'AA Exact Masses'!$Q$3-'Mass Ion Calculations'!$C$19-'Mass Ion Calculations'!$C33-'Mass Ion Calculations'!$D$5)))</f>
        <v/>
      </c>
      <c r="R32" s="3" t="str">
        <f>IF(OR($B32="",R$3=""),"",IF('Mass Ion Calculations'!$D$6="Yes",IF('Mass Ion Calculations'!$D$7="Yes",'Mass Ion Calculations'!$D$18+'AA Exact Masses'!$Q$3-'Mass Ion Calculations'!$C$20-'Mass Ion Calculations'!$C33-'Mass Ion Calculations'!$D$5,'Mass Ion Calculations'!$F$18+'AA Exact Masses'!$Q$3-'Mass Ion Calculations'!$C$20-'Mass Ion Calculations'!$C33-'Mass Ion Calculations'!$D$5),IF('Mass Ion Calculations'!$D$7="Yes", 'Mass Ion Calculations'!$D$15+'AA Exact Masses'!$Q$3-'Mass Ion Calculations'!$C$20-'Mass Ion Calculations'!$C33-'Mass Ion Calculations'!$D$5,'Mass Ion Calculations'!$F$15+'AA Exact Masses'!$Q$3-'Mass Ion Calculations'!$C$20-'Mass Ion Calculations'!$C33-'Mass Ion Calculations'!$D$5)))</f>
        <v/>
      </c>
      <c r="S32" s="3" t="str">
        <f>IF(OR($B32="",S$3=""),"",IF('Mass Ion Calculations'!$D$6="Yes",IF('Mass Ion Calculations'!$D$7="Yes",'Mass Ion Calculations'!$D$18+'AA Exact Masses'!$Q$3-'Mass Ion Calculations'!$C$21-'Mass Ion Calculations'!$C33-'Mass Ion Calculations'!$D$5,'Mass Ion Calculations'!$F$18+'AA Exact Masses'!$Q$3-'Mass Ion Calculations'!$C$21-'Mass Ion Calculations'!$C33-'Mass Ion Calculations'!$D$5),IF('Mass Ion Calculations'!$D$7="Yes", 'Mass Ion Calculations'!$D$15+'AA Exact Masses'!$Q$3-'Mass Ion Calculations'!$C$21-'Mass Ion Calculations'!$C33-'Mass Ion Calculations'!$D$5,'Mass Ion Calculations'!$F$15+'AA Exact Masses'!$Q$3-'Mass Ion Calculations'!$C$21-'Mass Ion Calculations'!$C33-'Mass Ion Calculations'!$D$5)))</f>
        <v/>
      </c>
      <c r="T32" s="3" t="str">
        <f>IF(OR($B32="",T$3=""),"",IF('Mass Ion Calculations'!$D$6="Yes",IF('Mass Ion Calculations'!$D$7="Yes",'Mass Ion Calculations'!$D$18+'AA Exact Masses'!$Q$3-'Mass Ion Calculations'!$C$22-'Mass Ion Calculations'!$C33-'Mass Ion Calculations'!$D$5,'Mass Ion Calculations'!$F$18+'AA Exact Masses'!$Q$3-'Mass Ion Calculations'!$C$22-'Mass Ion Calculations'!$C33-'Mass Ion Calculations'!$D$5),IF('Mass Ion Calculations'!$D$7="Yes", 'Mass Ion Calculations'!$D$15+'AA Exact Masses'!$Q$3-'Mass Ion Calculations'!$C$22-'Mass Ion Calculations'!$C33-'Mass Ion Calculations'!$D$5,'Mass Ion Calculations'!$F$15+'AA Exact Masses'!$Q$3-'Mass Ion Calculations'!$C$22-'Mass Ion Calculations'!$C33-'Mass Ion Calculations'!$D$5)))</f>
        <v/>
      </c>
      <c r="U32" s="3" t="str">
        <f>IF(OR($B32="",U$3=""),"",IF('Mass Ion Calculations'!$D$6="Yes",IF('Mass Ion Calculations'!$D$7="Yes",'Mass Ion Calculations'!$D$18+'AA Exact Masses'!$Q$3-'Mass Ion Calculations'!$C$23-'Mass Ion Calculations'!$C33-'Mass Ion Calculations'!$D$5,'Mass Ion Calculations'!$F$18+'AA Exact Masses'!$Q$3-'Mass Ion Calculations'!$C$23-'Mass Ion Calculations'!$C33-'Mass Ion Calculations'!$D$5),IF('Mass Ion Calculations'!$D$7="Yes", 'Mass Ion Calculations'!$D$15+'AA Exact Masses'!$Q$3-'Mass Ion Calculations'!$C$23-'Mass Ion Calculations'!$C33-'Mass Ion Calculations'!$D$5,'Mass Ion Calculations'!$F$15+'AA Exact Masses'!$Q$3-'Mass Ion Calculations'!$C$23-'Mass Ion Calculations'!$C33-'Mass Ion Calculations'!$D$5)))</f>
        <v/>
      </c>
      <c r="V32" s="3" t="str">
        <f>IF(OR($B32="",V$3=""),"",IF('Mass Ion Calculations'!$D$6="Yes",IF('Mass Ion Calculations'!$D$7="Yes",'Mass Ion Calculations'!$D$18+'AA Exact Masses'!$Q$3-'Mass Ion Calculations'!$C$24-'Mass Ion Calculations'!$C33-'Mass Ion Calculations'!$D$5,'Mass Ion Calculations'!$F$18+'AA Exact Masses'!$Q$3-'Mass Ion Calculations'!$C$24-'Mass Ion Calculations'!$C33-'Mass Ion Calculations'!$D$5),IF('Mass Ion Calculations'!$D$7="Yes", 'Mass Ion Calculations'!$D$15+'AA Exact Masses'!$Q$3-'Mass Ion Calculations'!$C$24-'Mass Ion Calculations'!$C33-'Mass Ion Calculations'!$D$5,'Mass Ion Calculations'!$F$15+'AA Exact Masses'!$Q$3-'Mass Ion Calculations'!$C$24-'Mass Ion Calculations'!$C33-'Mass Ion Calculations'!$D$5)))</f>
        <v/>
      </c>
      <c r="W32" s="3" t="str">
        <f>IF(OR($B32="",W$3=""),"",IF('Mass Ion Calculations'!$D$6="Yes",IF('Mass Ion Calculations'!$D$7="Yes",'Mass Ion Calculations'!$D$18+'AA Exact Masses'!$Q$3-'Mass Ion Calculations'!$C$25-'Mass Ion Calculations'!$C33-'Mass Ion Calculations'!$D$5,'Mass Ion Calculations'!$F$18+'AA Exact Masses'!$Q$3-'Mass Ion Calculations'!$C$25-'Mass Ion Calculations'!$C33-'Mass Ion Calculations'!$D$5),IF('Mass Ion Calculations'!$D$7="Yes", 'Mass Ion Calculations'!$D$15+'AA Exact Masses'!$Q$3-'Mass Ion Calculations'!$C$25-'Mass Ion Calculations'!$C33-'Mass Ion Calculations'!$D$5,'Mass Ion Calculations'!$F$15+'AA Exact Masses'!$Q$3-'Mass Ion Calculations'!$C$25-'Mass Ion Calculations'!$C33-'Mass Ion Calculations'!$D$5)))</f>
        <v/>
      </c>
      <c r="X32" s="3" t="str">
        <f>IF(OR($B32="",X$3=""),"",IF('Mass Ion Calculations'!$D$6="Yes",IF('Mass Ion Calculations'!$D$7="Yes",'Mass Ion Calculations'!$D$18+'AA Exact Masses'!$Q$3-'Mass Ion Calculations'!$C$26-'Mass Ion Calculations'!$C33-'Mass Ion Calculations'!$D$5,'Mass Ion Calculations'!$F$18+'AA Exact Masses'!$Q$3-'Mass Ion Calculations'!$C$26-'Mass Ion Calculations'!$C33-'Mass Ion Calculations'!$D$5),IF('Mass Ion Calculations'!$D$7="Yes", 'Mass Ion Calculations'!$D$15+'AA Exact Masses'!$Q$3-'Mass Ion Calculations'!$C$26-'Mass Ion Calculations'!$C33-'Mass Ion Calculations'!$D$5,'Mass Ion Calculations'!$F$15+'AA Exact Masses'!$Q$3-'Mass Ion Calculations'!$C$26-'Mass Ion Calculations'!$C33-'Mass Ion Calculations'!$D$5)))</f>
        <v/>
      </c>
      <c r="Y32" s="3" t="str">
        <f>IF(OR($B32="",Y$3=""),"",IF('Mass Ion Calculations'!$D$6="Yes",('Mass Ion Calculations'!$D$15+'AA Exact Masses'!$Q$3-'Mass Ion Calculations'!$C$7-'Mass Ion Calculations'!$C33-'Mass Ion Calculations'!$D$5-18.01),('Mass Ion Calculations'!$D$15+'AA Exact Masses'!$Q$3-'Mass Ion Calculations'!$C$7-'Mass Ion Calculations'!$C33-'Mass Ion Calculations'!$D$5)))</f>
        <v/>
      </c>
      <c r="Z32" s="3" t="str">
        <f>IF(OR($B32="",Z$3=""),"",IF('Mass Ion Calculations'!$D$6="Yes",('Mass Ion Calculations'!$D$15+'AA Exact Masses'!$Q$3-'Mass Ion Calculations'!$C$7-'Mass Ion Calculations'!$C33-'Mass Ion Calculations'!$D$5-18.01),('Mass Ion Calculations'!$D$15+'AA Exact Masses'!$Q$3-'Mass Ion Calculations'!$C$7-'Mass Ion Calculations'!$C33-'Mass Ion Calculations'!$D$5)))</f>
        <v/>
      </c>
    </row>
    <row r="33" spans="3:26" x14ac:dyDescent="0.25">
      <c r="C33" s="3" t="str">
        <f>IF(OR($B33="",C$3=""),"",IF('Mass Ion Calculations'!$D$6="Yes",IF('Mass Ion Calculations'!$D$7="Yes",'Mass Ion Calculations'!$D$18+'AA Exact Masses'!$Q$3-'Mass Ion Calculations'!$C$5-'Mass Ion Calculations'!$C34-'Mass Ion Calculations'!$D$5,'Mass Ion Calculations'!$F$18+'AA Exact Masses'!$Q$3-'Mass Ion Calculations'!$E$5-'Mass Ion Calculations'!$E34-'Mass Ion Calculations'!$D$5),IF('Mass Ion Calculations'!$D$7="Yes", 'Mass Ion Calculations'!$D$15+'AA Exact Masses'!$Q$3-'Mass Ion Calculations'!$C$5-'Mass Ion Calculations'!$C34-'Mass Ion Calculations'!$D$5,'Mass Ion Calculations'!$F$15+'AA Exact Masses'!$Q$3-'Mass Ion Calculations'!$E$5-'Mass Ion Calculations'!$E34-'Mass Ion Calculations'!$D$5)))</f>
        <v/>
      </c>
      <c r="D33" s="3" t="str">
        <f>IF(OR($B33="",D$3=""),"",IF('Mass Ion Calculations'!$D$6="Yes",IF('Mass Ion Calculations'!$D$7="Yes",'Mass Ion Calculations'!$D$18+'AA Exact Masses'!$Q$3-'Mass Ion Calculations'!$C$6-'Mass Ion Calculations'!$C34-'Mass Ion Calculations'!$D$5,'Mass Ion Calculations'!$F$18+'AA Exact Masses'!$Q$3-'Mass Ion Calculations'!$E$6-'Mass Ion Calculations'!$E34-'Mass Ion Calculations'!$D$5),IF('Mass Ion Calculations'!$D$7="Yes", 'Mass Ion Calculations'!$D$15+'AA Exact Masses'!$Q$3-'Mass Ion Calculations'!$C$6-'Mass Ion Calculations'!$C34-'Mass Ion Calculations'!$D$5,'Mass Ion Calculations'!$F$15+'AA Exact Masses'!$Q$3-'Mass Ion Calculations'!$E$6-'Mass Ion Calculations'!$E34-'Mass Ion Calculations'!$D$5)))</f>
        <v/>
      </c>
      <c r="E33" s="3" t="str">
        <f>IF(OR($B33="",E$3=""),"",IF('Mass Ion Calculations'!$D$6="Yes",IF('Mass Ion Calculations'!$D$7="Yes",'Mass Ion Calculations'!$D$18+'AA Exact Masses'!$Q$3-'Mass Ion Calculations'!$C$7-'Mass Ion Calculations'!$C34-'Mass Ion Calculations'!$D$5,'Mass Ion Calculations'!$F$18+'AA Exact Masses'!$Q$3-'Mass Ion Calculations'!$E$7-'Mass Ion Calculations'!$E34-'Mass Ion Calculations'!$D$5),IF('Mass Ion Calculations'!$D$7="Yes", 'Mass Ion Calculations'!$D$15+'AA Exact Masses'!$Q$3-'Mass Ion Calculations'!$C$7-'Mass Ion Calculations'!$C34-'Mass Ion Calculations'!$D$5,'Mass Ion Calculations'!$F$15+'AA Exact Masses'!$Q$3-'Mass Ion Calculations'!$E$7-'Mass Ion Calculations'!$E34-'Mass Ion Calculations'!$D$5)))</f>
        <v/>
      </c>
      <c r="F33" s="3" t="str">
        <f>IF(OR($B33="",F$3=""),"",IF('Mass Ion Calculations'!$D$6="Yes",IF('Mass Ion Calculations'!$D$7="Yes",'Mass Ion Calculations'!$D$18+'AA Exact Masses'!$Q$3-'Mass Ion Calculations'!$C$8-'Mass Ion Calculations'!$C34-'Mass Ion Calculations'!$D$5,'Mass Ion Calculations'!$F$18+'AA Exact Masses'!$Q$3-'Mass Ion Calculations'!$E$8-'Mass Ion Calculations'!$E34-'Mass Ion Calculations'!$D$5),IF('Mass Ion Calculations'!$D$7="Yes", 'Mass Ion Calculations'!$D$15+'AA Exact Masses'!$Q$3-'Mass Ion Calculations'!$C$8-'Mass Ion Calculations'!$C34-'Mass Ion Calculations'!$D$5,'Mass Ion Calculations'!$F$15+'AA Exact Masses'!$Q$3-'Mass Ion Calculations'!$E$8-'Mass Ion Calculations'!$E34-'Mass Ion Calculations'!$D$5)))</f>
        <v/>
      </c>
      <c r="G33" s="3" t="str">
        <f>IF(OR($B33="",G$3=""),"",IF('Mass Ion Calculations'!$D$6="Yes",IF('Mass Ion Calculations'!$D$7="Yes",'Mass Ion Calculations'!$D$18+'AA Exact Masses'!$Q$3-'Mass Ion Calculations'!$C$9-'Mass Ion Calculations'!$C34-'Mass Ion Calculations'!$D$5,'Mass Ion Calculations'!$F$18+'AA Exact Masses'!$Q$3-'Mass Ion Calculations'!$E$9-'Mass Ion Calculations'!$E34-'Mass Ion Calculations'!$D$5),IF('Mass Ion Calculations'!$D$7="Yes", 'Mass Ion Calculations'!$D$15+'AA Exact Masses'!$Q$3-'Mass Ion Calculations'!$C$9-'Mass Ion Calculations'!$C34-'Mass Ion Calculations'!$D$5,'Mass Ion Calculations'!$F$15+'AA Exact Masses'!$Q$3-'Mass Ion Calculations'!$E$9-'Mass Ion Calculations'!$E34-'Mass Ion Calculations'!$D$5)))</f>
        <v/>
      </c>
      <c r="H33" s="3" t="str">
        <f>IF(OR($B33="",H$3=""),"",IF('Mass Ion Calculations'!$D$6="Yes",IF('Mass Ion Calculations'!$D$7="Yes",'Mass Ion Calculations'!$D$18+'AA Exact Masses'!$Q$3-'Mass Ion Calculations'!$C$10-'Mass Ion Calculations'!$C34-'Mass Ion Calculations'!$D$5,'Mass Ion Calculations'!$F$18+'AA Exact Masses'!$Q$3-'Mass Ion Calculations'!$E$10-'Mass Ion Calculations'!$E34-'Mass Ion Calculations'!$D$5),IF('Mass Ion Calculations'!$D$7="Yes", 'Mass Ion Calculations'!$D$15+'AA Exact Masses'!$Q$3-'Mass Ion Calculations'!$C$10-'Mass Ion Calculations'!$C34-'Mass Ion Calculations'!$D$5,'Mass Ion Calculations'!$F$15+'AA Exact Masses'!$Q$3-'Mass Ion Calculations'!$E$10-'Mass Ion Calculations'!$E34-'Mass Ion Calculations'!$D$5)))</f>
        <v/>
      </c>
      <c r="I33" s="3" t="str">
        <f>IF(OR($B33="",I$3=""),"",IF('Mass Ion Calculations'!$D$6="Yes",IF('Mass Ion Calculations'!$D$7="Yes",'Mass Ion Calculations'!$D$18+'AA Exact Masses'!$Q$3-'Mass Ion Calculations'!$C$11-'Mass Ion Calculations'!$C34-'Mass Ion Calculations'!$D$5,'Mass Ion Calculations'!$F$18+'AA Exact Masses'!$Q$3-'Mass Ion Calculations'!$E$11-'Mass Ion Calculations'!$E34-'Mass Ion Calculations'!$D$5),IF('Mass Ion Calculations'!$D$7="Yes", 'Mass Ion Calculations'!$D$15+'AA Exact Masses'!$Q$3-'Mass Ion Calculations'!$C$11-'Mass Ion Calculations'!$C34-'Mass Ion Calculations'!$D$5,'Mass Ion Calculations'!$F$15+'AA Exact Masses'!$Q$3-'Mass Ion Calculations'!$E$11-'Mass Ion Calculations'!$E34-'Mass Ion Calculations'!$D$5)))</f>
        <v/>
      </c>
      <c r="J33" s="3" t="str">
        <f>IF(OR($B33="",J$3=""),"",IF('Mass Ion Calculations'!$D$6="Yes",IF('Mass Ion Calculations'!$D$7="Yes",'Mass Ion Calculations'!$D$18+'AA Exact Masses'!$Q$3-'Mass Ion Calculations'!$C$12-'Mass Ion Calculations'!$C34-'Mass Ion Calculations'!$D$5,'Mass Ion Calculations'!$F$18+'AA Exact Masses'!$Q$3-'Mass Ion Calculations'!$E$12-'Mass Ion Calculations'!$E34-'Mass Ion Calculations'!$D$5),IF('Mass Ion Calculations'!$D$7="Yes", 'Mass Ion Calculations'!$D$15+'AA Exact Masses'!$Q$3-'Mass Ion Calculations'!$C$12-'Mass Ion Calculations'!$C34-'Mass Ion Calculations'!$D$5,'Mass Ion Calculations'!$F$15+'AA Exact Masses'!$Q$3-'Mass Ion Calculations'!$E$12-'Mass Ion Calculations'!$E34-'Mass Ion Calculations'!$D$5)))</f>
        <v/>
      </c>
      <c r="K33" s="3" t="str">
        <f>IF(OR($B33="",K$3=""),"",IF('Mass Ion Calculations'!$D$6="Yes",IF('Mass Ion Calculations'!$D$7="Yes",'Mass Ion Calculations'!$D$18+'AA Exact Masses'!$Q$3-'Mass Ion Calculations'!$C$13-'Mass Ion Calculations'!$C34-'Mass Ion Calculations'!$D$5,'Mass Ion Calculations'!$F$18+'AA Exact Masses'!$Q$3-'Mass Ion Calculations'!$E$14-'Mass Ion Calculations'!$E34-'Mass Ion Calculations'!$D$5),IF('Mass Ion Calculations'!$D$7="Yes", 'Mass Ion Calculations'!$D$15+'AA Exact Masses'!$Q$3-'Mass Ion Calculations'!$C$13-'Mass Ion Calculations'!$C34-'Mass Ion Calculations'!$D$5,'Mass Ion Calculations'!$F$15+'AA Exact Masses'!$Q$3-'Mass Ion Calculations'!$E$14-'Mass Ion Calculations'!$E34-'Mass Ion Calculations'!$D$5)))</f>
        <v/>
      </c>
      <c r="L33" s="3" t="str">
        <f>IF(OR($B33="",L$3=""),"",IF('Mass Ion Calculations'!$D$6="Yes",IF('Mass Ion Calculations'!$D$7="Yes",'Mass Ion Calculations'!$D$18+'AA Exact Masses'!$Q$3-'Mass Ion Calculations'!$C$14-'Mass Ion Calculations'!$C34-'Mass Ion Calculations'!$D$5,'Mass Ion Calculations'!$F$18+'AA Exact Masses'!$Q$3-'Mass Ion Calculations'!$E$15-'Mass Ion Calculations'!$E34-'Mass Ion Calculations'!$D$5),IF('Mass Ion Calculations'!$D$7="Yes", 'Mass Ion Calculations'!$D$15+'AA Exact Masses'!$Q$3-'Mass Ion Calculations'!$C$14-'Mass Ion Calculations'!$C34-'Mass Ion Calculations'!$D$5,'Mass Ion Calculations'!$F$15+'AA Exact Masses'!$Q$3-'Mass Ion Calculations'!$E$15-'Mass Ion Calculations'!$E34-'Mass Ion Calculations'!$D$5)))</f>
        <v/>
      </c>
      <c r="M33" s="3" t="str">
        <f>IF(OR($B33="",M$3=""),"",IF('Mass Ion Calculations'!$D$6="Yes",IF('Mass Ion Calculations'!$D$7="Yes",'Mass Ion Calculations'!$D$18+'AA Exact Masses'!$Q$3-'Mass Ion Calculations'!$C$15-'Mass Ion Calculations'!$C34-'Mass Ion Calculations'!$D$5,'Mass Ion Calculations'!$F$18+'AA Exact Masses'!$Q$3-'Mass Ion Calculations'!$E$16-'Mass Ion Calculations'!$E34-'Mass Ion Calculations'!$D$5),IF('Mass Ion Calculations'!$D$7="Yes", 'Mass Ion Calculations'!$D$15+'AA Exact Masses'!$Q$3-'Mass Ion Calculations'!$C$15-'Mass Ion Calculations'!$C34-'Mass Ion Calculations'!$D$5,'Mass Ion Calculations'!$F$15+'AA Exact Masses'!$Q$3-'Mass Ion Calculations'!$E$16-'Mass Ion Calculations'!$E34-'Mass Ion Calculations'!$D$5)))</f>
        <v/>
      </c>
      <c r="N33" s="3" t="str">
        <f>IF(OR($B33="",N$3=""),"",IF('Mass Ion Calculations'!$D$6="Yes",IF('Mass Ion Calculations'!$D$7="Yes",'Mass Ion Calculations'!$D$18+'AA Exact Masses'!$Q$3-'Mass Ion Calculations'!$C$16-'Mass Ion Calculations'!$C34-'Mass Ion Calculations'!$D$5,'Mass Ion Calculations'!$F$18+'AA Exact Masses'!$Q$3-'Mass Ion Calculations'!$E$17-'Mass Ion Calculations'!$E34-'Mass Ion Calculations'!$D$5),IF('Mass Ion Calculations'!$D$7="Yes", 'Mass Ion Calculations'!$D$15+'AA Exact Masses'!$Q$3-'Mass Ion Calculations'!$C$16-'Mass Ion Calculations'!$C34-'Mass Ion Calculations'!$D$5,'Mass Ion Calculations'!$F$15+'AA Exact Masses'!$Q$3-'Mass Ion Calculations'!$E$17-'Mass Ion Calculations'!$E34-'Mass Ion Calculations'!$D$5)))</f>
        <v/>
      </c>
      <c r="O33" s="3" t="str">
        <f>IF(OR($B33="",O$3=""),"",IF('Mass Ion Calculations'!$D$6="Yes",IF('Mass Ion Calculations'!$D$7="Yes",'Mass Ion Calculations'!$D$18+'AA Exact Masses'!$Q$3-'Mass Ion Calculations'!$C$17-'Mass Ion Calculations'!$C34-'Mass Ion Calculations'!$D$5,'Mass Ion Calculations'!$F$18+'AA Exact Masses'!$Q$3-'Mass Ion Calculations'!$E$18-'Mass Ion Calculations'!$E34-'Mass Ion Calculations'!$D$5),IF('Mass Ion Calculations'!$D$7="Yes", 'Mass Ion Calculations'!$D$15+'AA Exact Masses'!$Q$3-'Mass Ion Calculations'!$C$17-'Mass Ion Calculations'!$C34-'Mass Ion Calculations'!$D$5,'Mass Ion Calculations'!$F$15+'AA Exact Masses'!$Q$3-'Mass Ion Calculations'!$E$18-'Mass Ion Calculations'!$E34-'Mass Ion Calculations'!$D$5)))</f>
        <v/>
      </c>
      <c r="P33" s="3" t="str">
        <f>IF(OR($B33="",P$3=""),"",IF('Mass Ion Calculations'!$D$6="Yes",IF('Mass Ion Calculations'!$D$7="Yes",'Mass Ion Calculations'!$D$18+'AA Exact Masses'!$Q$3-'Mass Ion Calculations'!$C$18-'Mass Ion Calculations'!$C34-'Mass Ion Calculations'!$D$5,'Mass Ion Calculations'!$F$18+'AA Exact Masses'!$Q$3-'Mass Ion Calculations'!$C$18-'Mass Ion Calculations'!$C34-'Mass Ion Calculations'!$D$5),IF('Mass Ion Calculations'!$D$7="Yes", 'Mass Ion Calculations'!$D$15+'AA Exact Masses'!$Q$3-'Mass Ion Calculations'!$C$18-'Mass Ion Calculations'!$C34-'Mass Ion Calculations'!$D$5,'Mass Ion Calculations'!$F$15+'AA Exact Masses'!$Q$3-'Mass Ion Calculations'!$C$18-'Mass Ion Calculations'!$C34-'Mass Ion Calculations'!$D$5)))</f>
        <v/>
      </c>
      <c r="Q33" s="3" t="str">
        <f>IF(OR($B33="",Q$3=""),"",IF('Mass Ion Calculations'!$D$6="Yes",IF('Mass Ion Calculations'!$D$7="Yes",'Mass Ion Calculations'!$D$18+'AA Exact Masses'!$Q$3-'Mass Ion Calculations'!$C$19-'Mass Ion Calculations'!$C34-'Mass Ion Calculations'!$D$5,'Mass Ion Calculations'!$F$18+'AA Exact Masses'!$Q$3-'Mass Ion Calculations'!$C$19-'Mass Ion Calculations'!$C34-'Mass Ion Calculations'!$D$5),IF('Mass Ion Calculations'!$D$7="Yes", 'Mass Ion Calculations'!$D$15+'AA Exact Masses'!$Q$3-'Mass Ion Calculations'!$C$19-'Mass Ion Calculations'!$C34-'Mass Ion Calculations'!$D$5,'Mass Ion Calculations'!$F$15+'AA Exact Masses'!$Q$3-'Mass Ion Calculations'!$C$19-'Mass Ion Calculations'!$C34-'Mass Ion Calculations'!$D$5)))</f>
        <v/>
      </c>
      <c r="R33" s="3" t="str">
        <f>IF(OR($B33="",R$3=""),"",IF('Mass Ion Calculations'!$D$6="Yes",IF('Mass Ion Calculations'!$D$7="Yes",'Mass Ion Calculations'!$D$18+'AA Exact Masses'!$Q$3-'Mass Ion Calculations'!$C$20-'Mass Ion Calculations'!$C34-'Mass Ion Calculations'!$D$5,'Mass Ion Calculations'!$F$18+'AA Exact Masses'!$Q$3-'Mass Ion Calculations'!$C$20-'Mass Ion Calculations'!$C34-'Mass Ion Calculations'!$D$5),IF('Mass Ion Calculations'!$D$7="Yes", 'Mass Ion Calculations'!$D$15+'AA Exact Masses'!$Q$3-'Mass Ion Calculations'!$C$20-'Mass Ion Calculations'!$C34-'Mass Ion Calculations'!$D$5,'Mass Ion Calculations'!$F$15+'AA Exact Masses'!$Q$3-'Mass Ion Calculations'!$C$20-'Mass Ion Calculations'!$C34-'Mass Ion Calculations'!$D$5)))</f>
        <v/>
      </c>
      <c r="S33" s="3" t="str">
        <f>IF(OR($B33="",S$3=""),"",IF('Mass Ion Calculations'!$D$6="Yes",IF('Mass Ion Calculations'!$D$7="Yes",'Mass Ion Calculations'!$D$18+'AA Exact Masses'!$Q$3-'Mass Ion Calculations'!$C$21-'Mass Ion Calculations'!$C34-'Mass Ion Calculations'!$D$5,'Mass Ion Calculations'!$F$18+'AA Exact Masses'!$Q$3-'Mass Ion Calculations'!$C$21-'Mass Ion Calculations'!$C34-'Mass Ion Calculations'!$D$5),IF('Mass Ion Calculations'!$D$7="Yes", 'Mass Ion Calculations'!$D$15+'AA Exact Masses'!$Q$3-'Mass Ion Calculations'!$C$21-'Mass Ion Calculations'!$C34-'Mass Ion Calculations'!$D$5,'Mass Ion Calculations'!$F$15+'AA Exact Masses'!$Q$3-'Mass Ion Calculations'!$C$21-'Mass Ion Calculations'!$C34-'Mass Ion Calculations'!$D$5)))</f>
        <v/>
      </c>
      <c r="T33" s="3" t="str">
        <f>IF(OR($B33="",T$3=""),"",IF('Mass Ion Calculations'!$D$6="Yes",IF('Mass Ion Calculations'!$D$7="Yes",'Mass Ion Calculations'!$D$18+'AA Exact Masses'!$Q$3-'Mass Ion Calculations'!$C$22-'Mass Ion Calculations'!$C34-'Mass Ion Calculations'!$D$5,'Mass Ion Calculations'!$F$18+'AA Exact Masses'!$Q$3-'Mass Ion Calculations'!$C$22-'Mass Ion Calculations'!$C34-'Mass Ion Calculations'!$D$5),IF('Mass Ion Calculations'!$D$7="Yes", 'Mass Ion Calculations'!$D$15+'AA Exact Masses'!$Q$3-'Mass Ion Calculations'!$C$22-'Mass Ion Calculations'!$C34-'Mass Ion Calculations'!$D$5,'Mass Ion Calculations'!$F$15+'AA Exact Masses'!$Q$3-'Mass Ion Calculations'!$C$22-'Mass Ion Calculations'!$C34-'Mass Ion Calculations'!$D$5)))</f>
        <v/>
      </c>
      <c r="U33" s="3" t="str">
        <f>IF(OR($B33="",U$3=""),"",IF('Mass Ion Calculations'!$D$6="Yes",IF('Mass Ion Calculations'!$D$7="Yes",'Mass Ion Calculations'!$D$18+'AA Exact Masses'!$Q$3-'Mass Ion Calculations'!$C$23-'Mass Ion Calculations'!$C34-'Mass Ion Calculations'!$D$5,'Mass Ion Calculations'!$F$18+'AA Exact Masses'!$Q$3-'Mass Ion Calculations'!$C$23-'Mass Ion Calculations'!$C34-'Mass Ion Calculations'!$D$5),IF('Mass Ion Calculations'!$D$7="Yes", 'Mass Ion Calculations'!$D$15+'AA Exact Masses'!$Q$3-'Mass Ion Calculations'!$C$23-'Mass Ion Calculations'!$C34-'Mass Ion Calculations'!$D$5,'Mass Ion Calculations'!$F$15+'AA Exact Masses'!$Q$3-'Mass Ion Calculations'!$C$23-'Mass Ion Calculations'!$C34-'Mass Ion Calculations'!$D$5)))</f>
        <v/>
      </c>
      <c r="V33" s="3" t="str">
        <f>IF(OR($B33="",V$3=""),"",IF('Mass Ion Calculations'!$D$6="Yes",IF('Mass Ion Calculations'!$D$7="Yes",'Mass Ion Calculations'!$D$18+'AA Exact Masses'!$Q$3-'Mass Ion Calculations'!$C$24-'Mass Ion Calculations'!$C34-'Mass Ion Calculations'!$D$5,'Mass Ion Calculations'!$F$18+'AA Exact Masses'!$Q$3-'Mass Ion Calculations'!$C$24-'Mass Ion Calculations'!$C34-'Mass Ion Calculations'!$D$5),IF('Mass Ion Calculations'!$D$7="Yes", 'Mass Ion Calculations'!$D$15+'AA Exact Masses'!$Q$3-'Mass Ion Calculations'!$C$24-'Mass Ion Calculations'!$C34-'Mass Ion Calculations'!$D$5,'Mass Ion Calculations'!$F$15+'AA Exact Masses'!$Q$3-'Mass Ion Calculations'!$C$24-'Mass Ion Calculations'!$C34-'Mass Ion Calculations'!$D$5)))</f>
        <v/>
      </c>
      <c r="W33" s="3" t="str">
        <f>IF(OR($B33="",W$3=""),"",IF('Mass Ion Calculations'!$D$6="Yes",IF('Mass Ion Calculations'!$D$7="Yes",'Mass Ion Calculations'!$D$18+'AA Exact Masses'!$Q$3-'Mass Ion Calculations'!$C$25-'Mass Ion Calculations'!$C34-'Mass Ion Calculations'!$D$5,'Mass Ion Calculations'!$F$18+'AA Exact Masses'!$Q$3-'Mass Ion Calculations'!$C$25-'Mass Ion Calculations'!$C34-'Mass Ion Calculations'!$D$5),IF('Mass Ion Calculations'!$D$7="Yes", 'Mass Ion Calculations'!$D$15+'AA Exact Masses'!$Q$3-'Mass Ion Calculations'!$C$25-'Mass Ion Calculations'!$C34-'Mass Ion Calculations'!$D$5,'Mass Ion Calculations'!$F$15+'AA Exact Masses'!$Q$3-'Mass Ion Calculations'!$C$25-'Mass Ion Calculations'!$C34-'Mass Ion Calculations'!$D$5)))</f>
        <v/>
      </c>
      <c r="X33" s="3" t="str">
        <f>IF(OR($B33="",X$3=""),"",IF('Mass Ion Calculations'!$D$6="Yes",IF('Mass Ion Calculations'!$D$7="Yes",'Mass Ion Calculations'!$D$18+'AA Exact Masses'!$Q$3-'Mass Ion Calculations'!$C$26-'Mass Ion Calculations'!$C34-'Mass Ion Calculations'!$D$5,'Mass Ion Calculations'!$F$18+'AA Exact Masses'!$Q$3-'Mass Ion Calculations'!$C$26-'Mass Ion Calculations'!$C34-'Mass Ion Calculations'!$D$5),IF('Mass Ion Calculations'!$D$7="Yes", 'Mass Ion Calculations'!$D$15+'AA Exact Masses'!$Q$3-'Mass Ion Calculations'!$C$26-'Mass Ion Calculations'!$C34-'Mass Ion Calculations'!$D$5,'Mass Ion Calculations'!$F$15+'AA Exact Masses'!$Q$3-'Mass Ion Calculations'!$C$26-'Mass Ion Calculations'!$C34-'Mass Ion Calculations'!$D$5)))</f>
        <v/>
      </c>
      <c r="Y33" s="3" t="str">
        <f>IF(OR($B33="",Y$3=""),"",IF('Mass Ion Calculations'!$D$6="Yes",('Mass Ion Calculations'!$D$15+'AA Exact Masses'!$Q$3-'Mass Ion Calculations'!$C$7-'Mass Ion Calculations'!$C34-'Mass Ion Calculations'!$D$5-18.01),('Mass Ion Calculations'!$D$15+'AA Exact Masses'!$Q$3-'Mass Ion Calculations'!$C$7-'Mass Ion Calculations'!$C34-'Mass Ion Calculations'!$D$5)))</f>
        <v/>
      </c>
      <c r="Z33" s="3" t="str">
        <f>IF(OR($B33="",Z$3=""),"",IF('Mass Ion Calculations'!$D$6="Yes",('Mass Ion Calculations'!$D$15+'AA Exact Masses'!$Q$3-'Mass Ion Calculations'!$C$7-'Mass Ion Calculations'!$C34-'Mass Ion Calculations'!$D$5-18.01),('Mass Ion Calculations'!$D$15+'AA Exact Masses'!$Q$3-'Mass Ion Calculations'!$C$7-'Mass Ion Calculations'!$C34-'Mass Ion Calculations'!$D$5)))</f>
        <v/>
      </c>
    </row>
    <row r="34" spans="3:26" x14ac:dyDescent="0.25">
      <c r="C34" s="3" t="str">
        <f>IF(OR($B34="",C$3=""),"",IF('Mass Ion Calculations'!$D$6="Yes",IF('Mass Ion Calculations'!$D$7="Yes",'Mass Ion Calculations'!$D$18+'AA Exact Masses'!$Q$3-'Mass Ion Calculations'!$C$5-'Mass Ion Calculations'!$C35-'Mass Ion Calculations'!$D$5,'Mass Ion Calculations'!$F$18+'AA Exact Masses'!$Q$3-'Mass Ion Calculations'!$E$5-'Mass Ion Calculations'!$E35-'Mass Ion Calculations'!$D$5),IF('Mass Ion Calculations'!$D$7="Yes", 'Mass Ion Calculations'!$D$15+'AA Exact Masses'!$Q$3-'Mass Ion Calculations'!$C$5-'Mass Ion Calculations'!$C35-'Mass Ion Calculations'!$D$5,'Mass Ion Calculations'!$F$15+'AA Exact Masses'!$Q$3-'Mass Ion Calculations'!$E$5-'Mass Ion Calculations'!$E35-'Mass Ion Calculations'!$D$5)))</f>
        <v/>
      </c>
      <c r="D34" s="3" t="str">
        <f>IF(OR($B34="",D$3=""),"",IF('Mass Ion Calculations'!$D$6="Yes",IF('Mass Ion Calculations'!$D$7="Yes",'Mass Ion Calculations'!$D$18+'AA Exact Masses'!$Q$3-'Mass Ion Calculations'!$C$6-'Mass Ion Calculations'!$C35-'Mass Ion Calculations'!$D$5,'Mass Ion Calculations'!$F$18+'AA Exact Masses'!$Q$3-'Mass Ion Calculations'!$E$6-'Mass Ion Calculations'!$E35-'Mass Ion Calculations'!$D$5),IF('Mass Ion Calculations'!$D$7="Yes", 'Mass Ion Calculations'!$D$15+'AA Exact Masses'!$Q$3-'Mass Ion Calculations'!$C$6-'Mass Ion Calculations'!$C35-'Mass Ion Calculations'!$D$5,'Mass Ion Calculations'!$F$15+'AA Exact Masses'!$Q$3-'Mass Ion Calculations'!$E$6-'Mass Ion Calculations'!$E35-'Mass Ion Calculations'!$D$5)))</f>
        <v/>
      </c>
      <c r="E34" s="3" t="str">
        <f>IF(OR($B34="",E$3=""),"",IF('Mass Ion Calculations'!$D$6="Yes",IF('Mass Ion Calculations'!$D$7="Yes",'Mass Ion Calculations'!$D$18+'AA Exact Masses'!$Q$3-'Mass Ion Calculations'!$C$7-'Mass Ion Calculations'!$C35-'Mass Ion Calculations'!$D$5,'Mass Ion Calculations'!$F$18+'AA Exact Masses'!$Q$3-'Mass Ion Calculations'!$E$7-'Mass Ion Calculations'!$E35-'Mass Ion Calculations'!$D$5),IF('Mass Ion Calculations'!$D$7="Yes", 'Mass Ion Calculations'!$D$15+'AA Exact Masses'!$Q$3-'Mass Ion Calculations'!$C$7-'Mass Ion Calculations'!$C35-'Mass Ion Calculations'!$D$5,'Mass Ion Calculations'!$F$15+'AA Exact Masses'!$Q$3-'Mass Ion Calculations'!$E$7-'Mass Ion Calculations'!$E35-'Mass Ion Calculations'!$D$5)))</f>
        <v/>
      </c>
      <c r="F34" s="3" t="str">
        <f>IF(OR($B34="",F$3=""),"",IF('Mass Ion Calculations'!$D$6="Yes",IF('Mass Ion Calculations'!$D$7="Yes",'Mass Ion Calculations'!$D$18+'AA Exact Masses'!$Q$3-'Mass Ion Calculations'!$C$8-'Mass Ion Calculations'!$C35-'Mass Ion Calculations'!$D$5,'Mass Ion Calculations'!$F$18+'AA Exact Masses'!$Q$3-'Mass Ion Calculations'!$E$8-'Mass Ion Calculations'!$E35-'Mass Ion Calculations'!$D$5),IF('Mass Ion Calculations'!$D$7="Yes", 'Mass Ion Calculations'!$D$15+'AA Exact Masses'!$Q$3-'Mass Ion Calculations'!$C$8-'Mass Ion Calculations'!$C35-'Mass Ion Calculations'!$D$5,'Mass Ion Calculations'!$F$15+'AA Exact Masses'!$Q$3-'Mass Ion Calculations'!$E$8-'Mass Ion Calculations'!$E35-'Mass Ion Calculations'!$D$5)))</f>
        <v/>
      </c>
      <c r="G34" s="3" t="str">
        <f>IF(OR($B34="",G$3=""),"",IF('Mass Ion Calculations'!$D$6="Yes",IF('Mass Ion Calculations'!$D$7="Yes",'Mass Ion Calculations'!$D$18+'AA Exact Masses'!$Q$3-'Mass Ion Calculations'!$C$9-'Mass Ion Calculations'!$C35-'Mass Ion Calculations'!$D$5,'Mass Ion Calculations'!$F$18+'AA Exact Masses'!$Q$3-'Mass Ion Calculations'!$E$9-'Mass Ion Calculations'!$E35-'Mass Ion Calculations'!$D$5),IF('Mass Ion Calculations'!$D$7="Yes", 'Mass Ion Calculations'!$D$15+'AA Exact Masses'!$Q$3-'Mass Ion Calculations'!$C$9-'Mass Ion Calculations'!$C35-'Mass Ion Calculations'!$D$5,'Mass Ion Calculations'!$F$15+'AA Exact Masses'!$Q$3-'Mass Ion Calculations'!$E$9-'Mass Ion Calculations'!$E35-'Mass Ion Calculations'!$D$5)))</f>
        <v/>
      </c>
      <c r="H34" s="3" t="str">
        <f>IF(OR($B34="",H$3=""),"",IF('Mass Ion Calculations'!$D$6="Yes",IF('Mass Ion Calculations'!$D$7="Yes",'Mass Ion Calculations'!$D$18+'AA Exact Masses'!$Q$3-'Mass Ion Calculations'!$C$10-'Mass Ion Calculations'!$C35-'Mass Ion Calculations'!$D$5,'Mass Ion Calculations'!$F$18+'AA Exact Masses'!$Q$3-'Mass Ion Calculations'!$E$10-'Mass Ion Calculations'!$E35-'Mass Ion Calculations'!$D$5),IF('Mass Ion Calculations'!$D$7="Yes", 'Mass Ion Calculations'!$D$15+'AA Exact Masses'!$Q$3-'Mass Ion Calculations'!$C$10-'Mass Ion Calculations'!$C35-'Mass Ion Calculations'!$D$5,'Mass Ion Calculations'!$F$15+'AA Exact Masses'!$Q$3-'Mass Ion Calculations'!$E$10-'Mass Ion Calculations'!$E35-'Mass Ion Calculations'!$D$5)))</f>
        <v/>
      </c>
      <c r="I34" s="3" t="str">
        <f>IF(OR($B34="",I$3=""),"",IF('Mass Ion Calculations'!$D$6="Yes",IF('Mass Ion Calculations'!$D$7="Yes",'Mass Ion Calculations'!$D$18+'AA Exact Masses'!$Q$3-'Mass Ion Calculations'!$C$11-'Mass Ion Calculations'!$C35-'Mass Ion Calculations'!$D$5,'Mass Ion Calculations'!$F$18+'AA Exact Masses'!$Q$3-'Mass Ion Calculations'!$E$11-'Mass Ion Calculations'!$E35-'Mass Ion Calculations'!$D$5),IF('Mass Ion Calculations'!$D$7="Yes", 'Mass Ion Calculations'!$D$15+'AA Exact Masses'!$Q$3-'Mass Ion Calculations'!$C$11-'Mass Ion Calculations'!$C35-'Mass Ion Calculations'!$D$5,'Mass Ion Calculations'!$F$15+'AA Exact Masses'!$Q$3-'Mass Ion Calculations'!$E$11-'Mass Ion Calculations'!$E35-'Mass Ion Calculations'!$D$5)))</f>
        <v/>
      </c>
      <c r="J34" s="3" t="str">
        <f>IF(OR($B34="",J$3=""),"",IF('Mass Ion Calculations'!$D$6="Yes",IF('Mass Ion Calculations'!$D$7="Yes",'Mass Ion Calculations'!$D$18+'AA Exact Masses'!$Q$3-'Mass Ion Calculations'!$C$12-'Mass Ion Calculations'!$C35-'Mass Ion Calculations'!$D$5,'Mass Ion Calculations'!$F$18+'AA Exact Masses'!$Q$3-'Mass Ion Calculations'!$E$12-'Mass Ion Calculations'!$E35-'Mass Ion Calculations'!$D$5),IF('Mass Ion Calculations'!$D$7="Yes", 'Mass Ion Calculations'!$D$15+'AA Exact Masses'!$Q$3-'Mass Ion Calculations'!$C$12-'Mass Ion Calculations'!$C35-'Mass Ion Calculations'!$D$5,'Mass Ion Calculations'!$F$15+'AA Exact Masses'!$Q$3-'Mass Ion Calculations'!$E$12-'Mass Ion Calculations'!$E35-'Mass Ion Calculations'!$D$5)))</f>
        <v/>
      </c>
      <c r="K34" s="3" t="str">
        <f>IF(OR($B34="",K$3=""),"",IF('Mass Ion Calculations'!$D$6="Yes",IF('Mass Ion Calculations'!$D$7="Yes",'Mass Ion Calculations'!$D$18+'AA Exact Masses'!$Q$3-'Mass Ion Calculations'!$C$13-'Mass Ion Calculations'!$C35-'Mass Ion Calculations'!$D$5,'Mass Ion Calculations'!$F$18+'AA Exact Masses'!$Q$3-'Mass Ion Calculations'!$E$14-'Mass Ion Calculations'!$E35-'Mass Ion Calculations'!$D$5),IF('Mass Ion Calculations'!$D$7="Yes", 'Mass Ion Calculations'!$D$15+'AA Exact Masses'!$Q$3-'Mass Ion Calculations'!$C$13-'Mass Ion Calculations'!$C35-'Mass Ion Calculations'!$D$5,'Mass Ion Calculations'!$F$15+'AA Exact Masses'!$Q$3-'Mass Ion Calculations'!$E$14-'Mass Ion Calculations'!$E35-'Mass Ion Calculations'!$D$5)))</f>
        <v/>
      </c>
      <c r="L34" s="3" t="str">
        <f>IF(OR($B34="",L$3=""),"",IF('Mass Ion Calculations'!$D$6="Yes",IF('Mass Ion Calculations'!$D$7="Yes",'Mass Ion Calculations'!$D$18+'AA Exact Masses'!$Q$3-'Mass Ion Calculations'!$C$14-'Mass Ion Calculations'!$C35-'Mass Ion Calculations'!$D$5,'Mass Ion Calculations'!$F$18+'AA Exact Masses'!$Q$3-'Mass Ion Calculations'!$E$15-'Mass Ion Calculations'!$E35-'Mass Ion Calculations'!$D$5),IF('Mass Ion Calculations'!$D$7="Yes", 'Mass Ion Calculations'!$D$15+'AA Exact Masses'!$Q$3-'Mass Ion Calculations'!$C$14-'Mass Ion Calculations'!$C35-'Mass Ion Calculations'!$D$5,'Mass Ion Calculations'!$F$15+'AA Exact Masses'!$Q$3-'Mass Ion Calculations'!$E$15-'Mass Ion Calculations'!$E35-'Mass Ion Calculations'!$D$5)))</f>
        <v/>
      </c>
      <c r="M34" s="3" t="str">
        <f>IF(OR($B34="",M$3=""),"",IF('Mass Ion Calculations'!$D$6="Yes",IF('Mass Ion Calculations'!$D$7="Yes",'Mass Ion Calculations'!$D$18+'AA Exact Masses'!$Q$3-'Mass Ion Calculations'!$C$15-'Mass Ion Calculations'!$C35-'Mass Ion Calculations'!$D$5,'Mass Ion Calculations'!$F$18+'AA Exact Masses'!$Q$3-'Mass Ion Calculations'!$E$16-'Mass Ion Calculations'!$E35-'Mass Ion Calculations'!$D$5),IF('Mass Ion Calculations'!$D$7="Yes", 'Mass Ion Calculations'!$D$15+'AA Exact Masses'!$Q$3-'Mass Ion Calculations'!$C$15-'Mass Ion Calculations'!$C35-'Mass Ion Calculations'!$D$5,'Mass Ion Calculations'!$F$15+'AA Exact Masses'!$Q$3-'Mass Ion Calculations'!$E$16-'Mass Ion Calculations'!$E35-'Mass Ion Calculations'!$D$5)))</f>
        <v/>
      </c>
      <c r="N34" s="3" t="str">
        <f>IF(OR($B34="",N$3=""),"",IF('Mass Ion Calculations'!$D$6="Yes",IF('Mass Ion Calculations'!$D$7="Yes",'Mass Ion Calculations'!$D$18+'AA Exact Masses'!$Q$3-'Mass Ion Calculations'!$C$16-'Mass Ion Calculations'!$C35-'Mass Ion Calculations'!$D$5,'Mass Ion Calculations'!$F$18+'AA Exact Masses'!$Q$3-'Mass Ion Calculations'!$E$17-'Mass Ion Calculations'!$E35-'Mass Ion Calculations'!$D$5),IF('Mass Ion Calculations'!$D$7="Yes", 'Mass Ion Calculations'!$D$15+'AA Exact Masses'!$Q$3-'Mass Ion Calculations'!$C$16-'Mass Ion Calculations'!$C35-'Mass Ion Calculations'!$D$5,'Mass Ion Calculations'!$F$15+'AA Exact Masses'!$Q$3-'Mass Ion Calculations'!$E$17-'Mass Ion Calculations'!$E35-'Mass Ion Calculations'!$D$5)))</f>
        <v/>
      </c>
      <c r="O34" s="3" t="str">
        <f>IF(OR($B34="",O$3=""),"",IF('Mass Ion Calculations'!$D$6="Yes",IF('Mass Ion Calculations'!$D$7="Yes",'Mass Ion Calculations'!$D$18+'AA Exact Masses'!$Q$3-'Mass Ion Calculations'!$C$17-'Mass Ion Calculations'!$C35-'Mass Ion Calculations'!$D$5,'Mass Ion Calculations'!$F$18+'AA Exact Masses'!$Q$3-'Mass Ion Calculations'!$E$18-'Mass Ion Calculations'!$E35-'Mass Ion Calculations'!$D$5),IF('Mass Ion Calculations'!$D$7="Yes", 'Mass Ion Calculations'!$D$15+'AA Exact Masses'!$Q$3-'Mass Ion Calculations'!$C$17-'Mass Ion Calculations'!$C35-'Mass Ion Calculations'!$D$5,'Mass Ion Calculations'!$F$15+'AA Exact Masses'!$Q$3-'Mass Ion Calculations'!$E$18-'Mass Ion Calculations'!$E35-'Mass Ion Calculations'!$D$5)))</f>
        <v/>
      </c>
      <c r="P34" s="3" t="str">
        <f>IF(OR($B34="",P$3=""),"",IF('Mass Ion Calculations'!$D$6="Yes",IF('Mass Ion Calculations'!$D$7="Yes",'Mass Ion Calculations'!$D$18+'AA Exact Masses'!$Q$3-'Mass Ion Calculations'!$C$18-'Mass Ion Calculations'!$C35-'Mass Ion Calculations'!$D$5,'Mass Ion Calculations'!$F$18+'AA Exact Masses'!$Q$3-'Mass Ion Calculations'!$C$18-'Mass Ion Calculations'!$C35-'Mass Ion Calculations'!$D$5),IF('Mass Ion Calculations'!$D$7="Yes", 'Mass Ion Calculations'!$D$15+'AA Exact Masses'!$Q$3-'Mass Ion Calculations'!$C$18-'Mass Ion Calculations'!$C35-'Mass Ion Calculations'!$D$5,'Mass Ion Calculations'!$F$15+'AA Exact Masses'!$Q$3-'Mass Ion Calculations'!$C$18-'Mass Ion Calculations'!$C35-'Mass Ion Calculations'!$D$5)))</f>
        <v/>
      </c>
      <c r="Q34" s="3" t="str">
        <f>IF(OR($B34="",Q$3=""),"",IF('Mass Ion Calculations'!$D$6="Yes",IF('Mass Ion Calculations'!$D$7="Yes",'Mass Ion Calculations'!$D$18+'AA Exact Masses'!$Q$3-'Mass Ion Calculations'!$C$19-'Mass Ion Calculations'!$C35-'Mass Ion Calculations'!$D$5,'Mass Ion Calculations'!$F$18+'AA Exact Masses'!$Q$3-'Mass Ion Calculations'!$C$19-'Mass Ion Calculations'!$C35-'Mass Ion Calculations'!$D$5),IF('Mass Ion Calculations'!$D$7="Yes", 'Mass Ion Calculations'!$D$15+'AA Exact Masses'!$Q$3-'Mass Ion Calculations'!$C$19-'Mass Ion Calculations'!$C35-'Mass Ion Calculations'!$D$5,'Mass Ion Calculations'!$F$15+'AA Exact Masses'!$Q$3-'Mass Ion Calculations'!$C$19-'Mass Ion Calculations'!$C35-'Mass Ion Calculations'!$D$5)))</f>
        <v/>
      </c>
      <c r="R34" s="3" t="str">
        <f>IF(OR($B34="",R$3=""),"",IF('Mass Ion Calculations'!$D$6="Yes",IF('Mass Ion Calculations'!$D$7="Yes",'Mass Ion Calculations'!$D$18+'AA Exact Masses'!$Q$3-'Mass Ion Calculations'!$C$20-'Mass Ion Calculations'!$C35-'Mass Ion Calculations'!$D$5,'Mass Ion Calculations'!$F$18+'AA Exact Masses'!$Q$3-'Mass Ion Calculations'!$C$20-'Mass Ion Calculations'!$C35-'Mass Ion Calculations'!$D$5),IF('Mass Ion Calculations'!$D$7="Yes", 'Mass Ion Calculations'!$D$15+'AA Exact Masses'!$Q$3-'Mass Ion Calculations'!$C$20-'Mass Ion Calculations'!$C35-'Mass Ion Calculations'!$D$5,'Mass Ion Calculations'!$F$15+'AA Exact Masses'!$Q$3-'Mass Ion Calculations'!$C$20-'Mass Ion Calculations'!$C35-'Mass Ion Calculations'!$D$5)))</f>
        <v/>
      </c>
      <c r="S34" s="3" t="str">
        <f>IF(OR($B34="",S$3=""),"",IF('Mass Ion Calculations'!$D$6="Yes",IF('Mass Ion Calculations'!$D$7="Yes",'Mass Ion Calculations'!$D$18+'AA Exact Masses'!$Q$3-'Mass Ion Calculations'!$C$21-'Mass Ion Calculations'!$C35-'Mass Ion Calculations'!$D$5,'Mass Ion Calculations'!$F$18+'AA Exact Masses'!$Q$3-'Mass Ion Calculations'!$C$21-'Mass Ion Calculations'!$C35-'Mass Ion Calculations'!$D$5),IF('Mass Ion Calculations'!$D$7="Yes", 'Mass Ion Calculations'!$D$15+'AA Exact Masses'!$Q$3-'Mass Ion Calculations'!$C$21-'Mass Ion Calculations'!$C35-'Mass Ion Calculations'!$D$5,'Mass Ion Calculations'!$F$15+'AA Exact Masses'!$Q$3-'Mass Ion Calculations'!$C$21-'Mass Ion Calculations'!$C35-'Mass Ion Calculations'!$D$5)))</f>
        <v/>
      </c>
      <c r="T34" s="3" t="str">
        <f>IF(OR($B34="",T$3=""),"",IF('Mass Ion Calculations'!$D$6="Yes",IF('Mass Ion Calculations'!$D$7="Yes",'Mass Ion Calculations'!$D$18+'AA Exact Masses'!$Q$3-'Mass Ion Calculations'!$C$22-'Mass Ion Calculations'!$C35-'Mass Ion Calculations'!$D$5,'Mass Ion Calculations'!$F$18+'AA Exact Masses'!$Q$3-'Mass Ion Calculations'!$C$22-'Mass Ion Calculations'!$C35-'Mass Ion Calculations'!$D$5),IF('Mass Ion Calculations'!$D$7="Yes", 'Mass Ion Calculations'!$D$15+'AA Exact Masses'!$Q$3-'Mass Ion Calculations'!$C$22-'Mass Ion Calculations'!$C35-'Mass Ion Calculations'!$D$5,'Mass Ion Calculations'!$F$15+'AA Exact Masses'!$Q$3-'Mass Ion Calculations'!$C$22-'Mass Ion Calculations'!$C35-'Mass Ion Calculations'!$D$5)))</f>
        <v/>
      </c>
      <c r="U34" s="3" t="str">
        <f>IF(OR($B34="",U$3=""),"",IF('Mass Ion Calculations'!$D$6="Yes",IF('Mass Ion Calculations'!$D$7="Yes",'Mass Ion Calculations'!$D$18+'AA Exact Masses'!$Q$3-'Mass Ion Calculations'!$C$23-'Mass Ion Calculations'!$C35-'Mass Ion Calculations'!$D$5,'Mass Ion Calculations'!$F$18+'AA Exact Masses'!$Q$3-'Mass Ion Calculations'!$C$23-'Mass Ion Calculations'!$C35-'Mass Ion Calculations'!$D$5),IF('Mass Ion Calculations'!$D$7="Yes", 'Mass Ion Calculations'!$D$15+'AA Exact Masses'!$Q$3-'Mass Ion Calculations'!$C$23-'Mass Ion Calculations'!$C35-'Mass Ion Calculations'!$D$5,'Mass Ion Calculations'!$F$15+'AA Exact Masses'!$Q$3-'Mass Ion Calculations'!$C$23-'Mass Ion Calculations'!$C35-'Mass Ion Calculations'!$D$5)))</f>
        <v/>
      </c>
      <c r="V34" s="3" t="str">
        <f>IF(OR($B34="",V$3=""),"",IF('Mass Ion Calculations'!$D$6="Yes",IF('Mass Ion Calculations'!$D$7="Yes",'Mass Ion Calculations'!$D$18+'AA Exact Masses'!$Q$3-'Mass Ion Calculations'!$C$24-'Mass Ion Calculations'!$C35-'Mass Ion Calculations'!$D$5,'Mass Ion Calculations'!$F$18+'AA Exact Masses'!$Q$3-'Mass Ion Calculations'!$C$24-'Mass Ion Calculations'!$C35-'Mass Ion Calculations'!$D$5),IF('Mass Ion Calculations'!$D$7="Yes", 'Mass Ion Calculations'!$D$15+'AA Exact Masses'!$Q$3-'Mass Ion Calculations'!$C$24-'Mass Ion Calculations'!$C35-'Mass Ion Calculations'!$D$5,'Mass Ion Calculations'!$F$15+'AA Exact Masses'!$Q$3-'Mass Ion Calculations'!$C$24-'Mass Ion Calculations'!$C35-'Mass Ion Calculations'!$D$5)))</f>
        <v/>
      </c>
      <c r="W34" s="3" t="str">
        <f>IF(OR($B34="",W$3=""),"",IF('Mass Ion Calculations'!$D$6="Yes",IF('Mass Ion Calculations'!$D$7="Yes",'Mass Ion Calculations'!$D$18+'AA Exact Masses'!$Q$3-'Mass Ion Calculations'!$C$25-'Mass Ion Calculations'!$C35-'Mass Ion Calculations'!$D$5,'Mass Ion Calculations'!$F$18+'AA Exact Masses'!$Q$3-'Mass Ion Calculations'!$C$25-'Mass Ion Calculations'!$C35-'Mass Ion Calculations'!$D$5),IF('Mass Ion Calculations'!$D$7="Yes", 'Mass Ion Calculations'!$D$15+'AA Exact Masses'!$Q$3-'Mass Ion Calculations'!$C$25-'Mass Ion Calculations'!$C35-'Mass Ion Calculations'!$D$5,'Mass Ion Calculations'!$F$15+'AA Exact Masses'!$Q$3-'Mass Ion Calculations'!$C$25-'Mass Ion Calculations'!$C35-'Mass Ion Calculations'!$D$5)))</f>
        <v/>
      </c>
      <c r="X34" s="3" t="str">
        <f>IF(OR($B34="",X$3=""),"",IF('Mass Ion Calculations'!$D$6="Yes",IF('Mass Ion Calculations'!$D$7="Yes",'Mass Ion Calculations'!$D$18+'AA Exact Masses'!$Q$3-'Mass Ion Calculations'!$C$26-'Mass Ion Calculations'!$C35-'Mass Ion Calculations'!$D$5,'Mass Ion Calculations'!$F$18+'AA Exact Masses'!$Q$3-'Mass Ion Calculations'!$C$26-'Mass Ion Calculations'!$C35-'Mass Ion Calculations'!$D$5),IF('Mass Ion Calculations'!$D$7="Yes", 'Mass Ion Calculations'!$D$15+'AA Exact Masses'!$Q$3-'Mass Ion Calculations'!$C$26-'Mass Ion Calculations'!$C35-'Mass Ion Calculations'!$D$5,'Mass Ion Calculations'!$F$15+'AA Exact Masses'!$Q$3-'Mass Ion Calculations'!$C$26-'Mass Ion Calculations'!$C35-'Mass Ion Calculations'!$D$5)))</f>
        <v/>
      </c>
      <c r="Y34" s="3" t="str">
        <f>IF(OR($B34="",Y$3=""),"",IF('Mass Ion Calculations'!$D$6="Yes",('Mass Ion Calculations'!$D$15+'AA Exact Masses'!$Q$3-'Mass Ion Calculations'!$C$7-'Mass Ion Calculations'!$C35-'Mass Ion Calculations'!$D$5-18.01),('Mass Ion Calculations'!$D$15+'AA Exact Masses'!$Q$3-'Mass Ion Calculations'!$C$7-'Mass Ion Calculations'!$C35-'Mass Ion Calculations'!$D$5)))</f>
        <v/>
      </c>
      <c r="Z34" s="3" t="str">
        <f>IF(OR($B34="",Z$3=""),"",IF('Mass Ion Calculations'!$D$6="Yes",('Mass Ion Calculations'!$D$15+'AA Exact Masses'!$Q$3-'Mass Ion Calculations'!$C$7-'Mass Ion Calculations'!$C35-'Mass Ion Calculations'!$D$5-18.01),('Mass Ion Calculations'!$D$15+'AA Exact Masses'!$Q$3-'Mass Ion Calculations'!$C$7-'Mass Ion Calculations'!$C35-'Mass Ion Calculations'!$D$5)))</f>
        <v/>
      </c>
    </row>
    <row r="35" spans="3:26" x14ac:dyDescent="0.25">
      <c r="C35" s="3" t="str">
        <f>IF(OR($B35="",C$3=""),"",IF('Mass Ion Calculations'!$D$6="Yes",IF('Mass Ion Calculations'!$D$7="Yes",'Mass Ion Calculations'!$D$18+'AA Exact Masses'!$Q$3-'Mass Ion Calculations'!$C$5-'Mass Ion Calculations'!$C36-'Mass Ion Calculations'!$D$5,'Mass Ion Calculations'!$F$18+'AA Exact Masses'!$Q$3-'Mass Ion Calculations'!$E$5-'Mass Ion Calculations'!$E36-'Mass Ion Calculations'!$D$5),IF('Mass Ion Calculations'!$D$7="Yes", 'Mass Ion Calculations'!$D$15+'AA Exact Masses'!$Q$3-'Mass Ion Calculations'!$C$5-'Mass Ion Calculations'!$C36-'Mass Ion Calculations'!$D$5,'Mass Ion Calculations'!$F$15+'AA Exact Masses'!$Q$3-'Mass Ion Calculations'!$E$5-'Mass Ion Calculations'!$E36-'Mass Ion Calculations'!$D$5)))</f>
        <v/>
      </c>
      <c r="D35" s="3" t="str">
        <f>IF(OR($B35="",D$3=""),"",IF('Mass Ion Calculations'!$D$6="Yes",IF('Mass Ion Calculations'!$D$7="Yes",'Mass Ion Calculations'!$D$18+'AA Exact Masses'!$Q$3-'Mass Ion Calculations'!$C$6-'Mass Ion Calculations'!$C36-'Mass Ion Calculations'!$D$5,'Mass Ion Calculations'!$F$18+'AA Exact Masses'!$Q$3-'Mass Ion Calculations'!$E$6-'Mass Ion Calculations'!$E36-'Mass Ion Calculations'!$D$5),IF('Mass Ion Calculations'!$D$7="Yes", 'Mass Ion Calculations'!$D$15+'AA Exact Masses'!$Q$3-'Mass Ion Calculations'!$C$6-'Mass Ion Calculations'!$C36-'Mass Ion Calculations'!$D$5,'Mass Ion Calculations'!$F$15+'AA Exact Masses'!$Q$3-'Mass Ion Calculations'!$E$6-'Mass Ion Calculations'!$E36-'Mass Ion Calculations'!$D$5)))</f>
        <v/>
      </c>
      <c r="E35" s="3" t="str">
        <f>IF(OR($B35="",E$3=""),"",IF('Mass Ion Calculations'!$D$6="Yes",IF('Mass Ion Calculations'!$D$7="Yes",'Mass Ion Calculations'!$D$18+'AA Exact Masses'!$Q$3-'Mass Ion Calculations'!$C$7-'Mass Ion Calculations'!$C36-'Mass Ion Calculations'!$D$5,'Mass Ion Calculations'!$F$18+'AA Exact Masses'!$Q$3-'Mass Ion Calculations'!$E$7-'Mass Ion Calculations'!$E36-'Mass Ion Calculations'!$D$5),IF('Mass Ion Calculations'!$D$7="Yes", 'Mass Ion Calculations'!$D$15+'AA Exact Masses'!$Q$3-'Mass Ion Calculations'!$C$7-'Mass Ion Calculations'!$C36-'Mass Ion Calculations'!$D$5,'Mass Ion Calculations'!$F$15+'AA Exact Masses'!$Q$3-'Mass Ion Calculations'!$E$7-'Mass Ion Calculations'!$E36-'Mass Ion Calculations'!$D$5)))</f>
        <v/>
      </c>
      <c r="F35" s="3" t="str">
        <f>IF(OR($B35="",F$3=""),"",IF('Mass Ion Calculations'!$D$6="Yes",IF('Mass Ion Calculations'!$D$7="Yes",'Mass Ion Calculations'!$D$18+'AA Exact Masses'!$Q$3-'Mass Ion Calculations'!$C$8-'Mass Ion Calculations'!$C36-'Mass Ion Calculations'!$D$5,'Mass Ion Calculations'!$F$18+'AA Exact Masses'!$Q$3-'Mass Ion Calculations'!$E$8-'Mass Ion Calculations'!$E36-'Mass Ion Calculations'!$D$5),IF('Mass Ion Calculations'!$D$7="Yes", 'Mass Ion Calculations'!$D$15+'AA Exact Masses'!$Q$3-'Mass Ion Calculations'!$C$8-'Mass Ion Calculations'!$C36-'Mass Ion Calculations'!$D$5,'Mass Ion Calculations'!$F$15+'AA Exact Masses'!$Q$3-'Mass Ion Calculations'!$E$8-'Mass Ion Calculations'!$E36-'Mass Ion Calculations'!$D$5)))</f>
        <v/>
      </c>
      <c r="G35" s="3" t="str">
        <f>IF(OR($B35="",G$3=""),"",IF('Mass Ion Calculations'!$D$6="Yes",IF('Mass Ion Calculations'!$D$7="Yes",'Mass Ion Calculations'!$D$18+'AA Exact Masses'!$Q$3-'Mass Ion Calculations'!$C$9-'Mass Ion Calculations'!$C36-'Mass Ion Calculations'!$D$5,'Mass Ion Calculations'!$F$18+'AA Exact Masses'!$Q$3-'Mass Ion Calculations'!$E$9-'Mass Ion Calculations'!$E36-'Mass Ion Calculations'!$D$5),IF('Mass Ion Calculations'!$D$7="Yes", 'Mass Ion Calculations'!$D$15+'AA Exact Masses'!$Q$3-'Mass Ion Calculations'!$C$9-'Mass Ion Calculations'!$C36-'Mass Ion Calculations'!$D$5,'Mass Ion Calculations'!$F$15+'AA Exact Masses'!$Q$3-'Mass Ion Calculations'!$E$9-'Mass Ion Calculations'!$E36-'Mass Ion Calculations'!$D$5)))</f>
        <v/>
      </c>
      <c r="H35" s="3" t="str">
        <f>IF(OR($B35="",H$3=""),"",IF('Mass Ion Calculations'!$D$6="Yes",IF('Mass Ion Calculations'!$D$7="Yes",'Mass Ion Calculations'!$D$18+'AA Exact Masses'!$Q$3-'Mass Ion Calculations'!$C$10-'Mass Ion Calculations'!$C36-'Mass Ion Calculations'!$D$5,'Mass Ion Calculations'!$F$18+'AA Exact Masses'!$Q$3-'Mass Ion Calculations'!$E$10-'Mass Ion Calculations'!$E36-'Mass Ion Calculations'!$D$5),IF('Mass Ion Calculations'!$D$7="Yes", 'Mass Ion Calculations'!$D$15+'AA Exact Masses'!$Q$3-'Mass Ion Calculations'!$C$10-'Mass Ion Calculations'!$C36-'Mass Ion Calculations'!$D$5,'Mass Ion Calculations'!$F$15+'AA Exact Masses'!$Q$3-'Mass Ion Calculations'!$E$10-'Mass Ion Calculations'!$E36-'Mass Ion Calculations'!$D$5)))</f>
        <v/>
      </c>
      <c r="I35" s="3" t="str">
        <f>IF(OR($B35="",I$3=""),"",IF('Mass Ion Calculations'!$D$6="Yes",IF('Mass Ion Calculations'!$D$7="Yes",'Mass Ion Calculations'!$D$18+'AA Exact Masses'!$Q$3-'Mass Ion Calculations'!$C$11-'Mass Ion Calculations'!$C36-'Mass Ion Calculations'!$D$5,'Mass Ion Calculations'!$F$18+'AA Exact Masses'!$Q$3-'Mass Ion Calculations'!$E$11-'Mass Ion Calculations'!$E36-'Mass Ion Calculations'!$D$5),IF('Mass Ion Calculations'!$D$7="Yes", 'Mass Ion Calculations'!$D$15+'AA Exact Masses'!$Q$3-'Mass Ion Calculations'!$C$11-'Mass Ion Calculations'!$C36-'Mass Ion Calculations'!$D$5,'Mass Ion Calculations'!$F$15+'AA Exact Masses'!$Q$3-'Mass Ion Calculations'!$E$11-'Mass Ion Calculations'!$E36-'Mass Ion Calculations'!$D$5)))</f>
        <v/>
      </c>
      <c r="J35" s="3" t="str">
        <f>IF(OR($B35="",J$3=""),"",IF('Mass Ion Calculations'!$D$6="Yes",IF('Mass Ion Calculations'!$D$7="Yes",'Mass Ion Calculations'!$D$18+'AA Exact Masses'!$Q$3-'Mass Ion Calculations'!$C$12-'Mass Ion Calculations'!$C36-'Mass Ion Calculations'!$D$5,'Mass Ion Calculations'!$F$18+'AA Exact Masses'!$Q$3-'Mass Ion Calculations'!$E$12-'Mass Ion Calculations'!$E36-'Mass Ion Calculations'!$D$5),IF('Mass Ion Calculations'!$D$7="Yes", 'Mass Ion Calculations'!$D$15+'AA Exact Masses'!$Q$3-'Mass Ion Calculations'!$C$12-'Mass Ion Calculations'!$C36-'Mass Ion Calculations'!$D$5,'Mass Ion Calculations'!$F$15+'AA Exact Masses'!$Q$3-'Mass Ion Calculations'!$E$12-'Mass Ion Calculations'!$E36-'Mass Ion Calculations'!$D$5)))</f>
        <v/>
      </c>
      <c r="K35" s="3" t="str">
        <f>IF(OR($B35="",K$3=""),"",IF('Mass Ion Calculations'!$D$6="Yes",IF('Mass Ion Calculations'!$D$7="Yes",'Mass Ion Calculations'!$D$18+'AA Exact Masses'!$Q$3-'Mass Ion Calculations'!$C$13-'Mass Ion Calculations'!$C36-'Mass Ion Calculations'!$D$5,'Mass Ion Calculations'!$F$18+'AA Exact Masses'!$Q$3-'Mass Ion Calculations'!$E$14-'Mass Ion Calculations'!$E36-'Mass Ion Calculations'!$D$5),IF('Mass Ion Calculations'!$D$7="Yes", 'Mass Ion Calculations'!$D$15+'AA Exact Masses'!$Q$3-'Mass Ion Calculations'!$C$13-'Mass Ion Calculations'!$C36-'Mass Ion Calculations'!$D$5,'Mass Ion Calculations'!$F$15+'AA Exact Masses'!$Q$3-'Mass Ion Calculations'!$E$14-'Mass Ion Calculations'!$E36-'Mass Ion Calculations'!$D$5)))</f>
        <v/>
      </c>
      <c r="L35" s="3" t="str">
        <f>IF(OR($B35="",L$3=""),"",IF('Mass Ion Calculations'!$D$6="Yes",IF('Mass Ion Calculations'!$D$7="Yes",'Mass Ion Calculations'!$D$18+'AA Exact Masses'!$Q$3-'Mass Ion Calculations'!$C$14-'Mass Ion Calculations'!$C36-'Mass Ion Calculations'!$D$5,'Mass Ion Calculations'!$F$18+'AA Exact Masses'!$Q$3-'Mass Ion Calculations'!$E$15-'Mass Ion Calculations'!$E36-'Mass Ion Calculations'!$D$5),IF('Mass Ion Calculations'!$D$7="Yes", 'Mass Ion Calculations'!$D$15+'AA Exact Masses'!$Q$3-'Mass Ion Calculations'!$C$14-'Mass Ion Calculations'!$C36-'Mass Ion Calculations'!$D$5,'Mass Ion Calculations'!$F$15+'AA Exact Masses'!$Q$3-'Mass Ion Calculations'!$E$15-'Mass Ion Calculations'!$E36-'Mass Ion Calculations'!$D$5)))</f>
        <v/>
      </c>
      <c r="M35" s="3" t="str">
        <f>IF(OR($B35="",M$3=""),"",IF('Mass Ion Calculations'!$D$6="Yes",IF('Mass Ion Calculations'!$D$7="Yes",'Mass Ion Calculations'!$D$18+'AA Exact Masses'!$Q$3-'Mass Ion Calculations'!$C$15-'Mass Ion Calculations'!$C36-'Mass Ion Calculations'!$D$5,'Mass Ion Calculations'!$F$18+'AA Exact Masses'!$Q$3-'Mass Ion Calculations'!$E$16-'Mass Ion Calculations'!$E36-'Mass Ion Calculations'!$D$5),IF('Mass Ion Calculations'!$D$7="Yes", 'Mass Ion Calculations'!$D$15+'AA Exact Masses'!$Q$3-'Mass Ion Calculations'!$C$15-'Mass Ion Calculations'!$C36-'Mass Ion Calculations'!$D$5,'Mass Ion Calculations'!$F$15+'AA Exact Masses'!$Q$3-'Mass Ion Calculations'!$E$16-'Mass Ion Calculations'!$E36-'Mass Ion Calculations'!$D$5)))</f>
        <v/>
      </c>
      <c r="N35" s="3" t="str">
        <f>IF(OR($B35="",N$3=""),"",IF('Mass Ion Calculations'!$D$6="Yes",IF('Mass Ion Calculations'!$D$7="Yes",'Mass Ion Calculations'!$D$18+'AA Exact Masses'!$Q$3-'Mass Ion Calculations'!$C$16-'Mass Ion Calculations'!$C36-'Mass Ion Calculations'!$D$5,'Mass Ion Calculations'!$F$18+'AA Exact Masses'!$Q$3-'Mass Ion Calculations'!$E$17-'Mass Ion Calculations'!$E36-'Mass Ion Calculations'!$D$5),IF('Mass Ion Calculations'!$D$7="Yes", 'Mass Ion Calculations'!$D$15+'AA Exact Masses'!$Q$3-'Mass Ion Calculations'!$C$16-'Mass Ion Calculations'!$C36-'Mass Ion Calculations'!$D$5,'Mass Ion Calculations'!$F$15+'AA Exact Masses'!$Q$3-'Mass Ion Calculations'!$E$17-'Mass Ion Calculations'!$E36-'Mass Ion Calculations'!$D$5)))</f>
        <v/>
      </c>
      <c r="O35" s="3" t="str">
        <f>IF(OR($B35="",O$3=""),"",IF('Mass Ion Calculations'!$D$6="Yes",IF('Mass Ion Calculations'!$D$7="Yes",'Mass Ion Calculations'!$D$18+'AA Exact Masses'!$Q$3-'Mass Ion Calculations'!$C$17-'Mass Ion Calculations'!$C36-'Mass Ion Calculations'!$D$5,'Mass Ion Calculations'!$F$18+'AA Exact Masses'!$Q$3-'Mass Ion Calculations'!$E$18-'Mass Ion Calculations'!$E36-'Mass Ion Calculations'!$D$5),IF('Mass Ion Calculations'!$D$7="Yes", 'Mass Ion Calculations'!$D$15+'AA Exact Masses'!$Q$3-'Mass Ion Calculations'!$C$17-'Mass Ion Calculations'!$C36-'Mass Ion Calculations'!$D$5,'Mass Ion Calculations'!$F$15+'AA Exact Masses'!$Q$3-'Mass Ion Calculations'!$E$18-'Mass Ion Calculations'!$E36-'Mass Ion Calculations'!$D$5)))</f>
        <v/>
      </c>
      <c r="P35" s="3" t="str">
        <f>IF(OR($B35="",P$3=""),"",IF('Mass Ion Calculations'!$D$6="Yes",IF('Mass Ion Calculations'!$D$7="Yes",'Mass Ion Calculations'!$D$18+'AA Exact Masses'!$Q$3-'Mass Ion Calculations'!$C$18-'Mass Ion Calculations'!$C36-'Mass Ion Calculations'!$D$5,'Mass Ion Calculations'!$F$18+'AA Exact Masses'!$Q$3-'Mass Ion Calculations'!$C$18-'Mass Ion Calculations'!$C36-'Mass Ion Calculations'!$D$5),IF('Mass Ion Calculations'!$D$7="Yes", 'Mass Ion Calculations'!$D$15+'AA Exact Masses'!$Q$3-'Mass Ion Calculations'!$C$18-'Mass Ion Calculations'!$C36-'Mass Ion Calculations'!$D$5,'Mass Ion Calculations'!$F$15+'AA Exact Masses'!$Q$3-'Mass Ion Calculations'!$C$18-'Mass Ion Calculations'!$C36-'Mass Ion Calculations'!$D$5)))</f>
        <v/>
      </c>
      <c r="Q35" s="3" t="str">
        <f>IF(OR($B35="",Q$3=""),"",IF('Mass Ion Calculations'!$D$6="Yes",IF('Mass Ion Calculations'!$D$7="Yes",'Mass Ion Calculations'!$D$18+'AA Exact Masses'!$Q$3-'Mass Ion Calculations'!$C$19-'Mass Ion Calculations'!$C36-'Mass Ion Calculations'!$D$5,'Mass Ion Calculations'!$F$18+'AA Exact Masses'!$Q$3-'Mass Ion Calculations'!$C$19-'Mass Ion Calculations'!$C36-'Mass Ion Calculations'!$D$5),IF('Mass Ion Calculations'!$D$7="Yes", 'Mass Ion Calculations'!$D$15+'AA Exact Masses'!$Q$3-'Mass Ion Calculations'!$C$19-'Mass Ion Calculations'!$C36-'Mass Ion Calculations'!$D$5,'Mass Ion Calculations'!$F$15+'AA Exact Masses'!$Q$3-'Mass Ion Calculations'!$C$19-'Mass Ion Calculations'!$C36-'Mass Ion Calculations'!$D$5)))</f>
        <v/>
      </c>
      <c r="R35" s="3" t="str">
        <f>IF(OR($B35="",R$3=""),"",IF('Mass Ion Calculations'!$D$6="Yes",IF('Mass Ion Calculations'!$D$7="Yes",'Mass Ion Calculations'!$D$18+'AA Exact Masses'!$Q$3-'Mass Ion Calculations'!$C$20-'Mass Ion Calculations'!$C36-'Mass Ion Calculations'!$D$5,'Mass Ion Calculations'!$F$18+'AA Exact Masses'!$Q$3-'Mass Ion Calculations'!$C$20-'Mass Ion Calculations'!$C36-'Mass Ion Calculations'!$D$5),IF('Mass Ion Calculations'!$D$7="Yes", 'Mass Ion Calculations'!$D$15+'AA Exact Masses'!$Q$3-'Mass Ion Calculations'!$C$20-'Mass Ion Calculations'!$C36-'Mass Ion Calculations'!$D$5,'Mass Ion Calculations'!$F$15+'AA Exact Masses'!$Q$3-'Mass Ion Calculations'!$C$20-'Mass Ion Calculations'!$C36-'Mass Ion Calculations'!$D$5)))</f>
        <v/>
      </c>
      <c r="S35" s="3" t="str">
        <f>IF(OR($B35="",S$3=""),"",IF('Mass Ion Calculations'!$D$6="Yes",IF('Mass Ion Calculations'!$D$7="Yes",'Mass Ion Calculations'!$D$18+'AA Exact Masses'!$Q$3-'Mass Ion Calculations'!$C$21-'Mass Ion Calculations'!$C36-'Mass Ion Calculations'!$D$5,'Mass Ion Calculations'!$F$18+'AA Exact Masses'!$Q$3-'Mass Ion Calculations'!$C$21-'Mass Ion Calculations'!$C36-'Mass Ion Calculations'!$D$5),IF('Mass Ion Calculations'!$D$7="Yes", 'Mass Ion Calculations'!$D$15+'AA Exact Masses'!$Q$3-'Mass Ion Calculations'!$C$21-'Mass Ion Calculations'!$C36-'Mass Ion Calculations'!$D$5,'Mass Ion Calculations'!$F$15+'AA Exact Masses'!$Q$3-'Mass Ion Calculations'!$C$21-'Mass Ion Calculations'!$C36-'Mass Ion Calculations'!$D$5)))</f>
        <v/>
      </c>
      <c r="T35" s="3" t="str">
        <f>IF(OR($B35="",T$3=""),"",IF('Mass Ion Calculations'!$D$6="Yes",IF('Mass Ion Calculations'!$D$7="Yes",'Mass Ion Calculations'!$D$18+'AA Exact Masses'!$Q$3-'Mass Ion Calculations'!$C$22-'Mass Ion Calculations'!$C36-'Mass Ion Calculations'!$D$5,'Mass Ion Calculations'!$F$18+'AA Exact Masses'!$Q$3-'Mass Ion Calculations'!$C$22-'Mass Ion Calculations'!$C36-'Mass Ion Calculations'!$D$5),IF('Mass Ion Calculations'!$D$7="Yes", 'Mass Ion Calculations'!$D$15+'AA Exact Masses'!$Q$3-'Mass Ion Calculations'!$C$22-'Mass Ion Calculations'!$C36-'Mass Ion Calculations'!$D$5,'Mass Ion Calculations'!$F$15+'AA Exact Masses'!$Q$3-'Mass Ion Calculations'!$C$22-'Mass Ion Calculations'!$C36-'Mass Ion Calculations'!$D$5)))</f>
        <v/>
      </c>
      <c r="U35" s="3" t="str">
        <f>IF(OR($B35="",U$3=""),"",IF('Mass Ion Calculations'!$D$6="Yes",IF('Mass Ion Calculations'!$D$7="Yes",'Mass Ion Calculations'!$D$18+'AA Exact Masses'!$Q$3-'Mass Ion Calculations'!$C$23-'Mass Ion Calculations'!$C36-'Mass Ion Calculations'!$D$5,'Mass Ion Calculations'!$F$18+'AA Exact Masses'!$Q$3-'Mass Ion Calculations'!$C$23-'Mass Ion Calculations'!$C36-'Mass Ion Calculations'!$D$5),IF('Mass Ion Calculations'!$D$7="Yes", 'Mass Ion Calculations'!$D$15+'AA Exact Masses'!$Q$3-'Mass Ion Calculations'!$C$23-'Mass Ion Calculations'!$C36-'Mass Ion Calculations'!$D$5,'Mass Ion Calculations'!$F$15+'AA Exact Masses'!$Q$3-'Mass Ion Calculations'!$C$23-'Mass Ion Calculations'!$C36-'Mass Ion Calculations'!$D$5)))</f>
        <v/>
      </c>
      <c r="V35" s="3" t="str">
        <f>IF(OR($B35="",V$3=""),"",IF('Mass Ion Calculations'!$D$6="Yes",IF('Mass Ion Calculations'!$D$7="Yes",'Mass Ion Calculations'!$D$18+'AA Exact Masses'!$Q$3-'Mass Ion Calculations'!$C$24-'Mass Ion Calculations'!$C36-'Mass Ion Calculations'!$D$5,'Mass Ion Calculations'!$F$18+'AA Exact Masses'!$Q$3-'Mass Ion Calculations'!$C$24-'Mass Ion Calculations'!$C36-'Mass Ion Calculations'!$D$5),IF('Mass Ion Calculations'!$D$7="Yes", 'Mass Ion Calculations'!$D$15+'AA Exact Masses'!$Q$3-'Mass Ion Calculations'!$C$24-'Mass Ion Calculations'!$C36-'Mass Ion Calculations'!$D$5,'Mass Ion Calculations'!$F$15+'AA Exact Masses'!$Q$3-'Mass Ion Calculations'!$C$24-'Mass Ion Calculations'!$C36-'Mass Ion Calculations'!$D$5)))</f>
        <v/>
      </c>
      <c r="W35" s="3" t="str">
        <f>IF(OR($B35="",W$3=""),"",IF('Mass Ion Calculations'!$D$6="Yes",IF('Mass Ion Calculations'!$D$7="Yes",'Mass Ion Calculations'!$D$18+'AA Exact Masses'!$Q$3-'Mass Ion Calculations'!$C$25-'Mass Ion Calculations'!$C36-'Mass Ion Calculations'!$D$5,'Mass Ion Calculations'!$F$18+'AA Exact Masses'!$Q$3-'Mass Ion Calculations'!$C$25-'Mass Ion Calculations'!$C36-'Mass Ion Calculations'!$D$5),IF('Mass Ion Calculations'!$D$7="Yes", 'Mass Ion Calculations'!$D$15+'AA Exact Masses'!$Q$3-'Mass Ion Calculations'!$C$25-'Mass Ion Calculations'!$C36-'Mass Ion Calculations'!$D$5,'Mass Ion Calculations'!$F$15+'AA Exact Masses'!$Q$3-'Mass Ion Calculations'!$C$25-'Mass Ion Calculations'!$C36-'Mass Ion Calculations'!$D$5)))</f>
        <v/>
      </c>
      <c r="X35" s="3" t="str">
        <f>IF(OR($B35="",X$3=""),"",IF('Mass Ion Calculations'!$D$6="Yes",IF('Mass Ion Calculations'!$D$7="Yes",'Mass Ion Calculations'!$D$18+'AA Exact Masses'!$Q$3-'Mass Ion Calculations'!$C$26-'Mass Ion Calculations'!$C36-'Mass Ion Calculations'!$D$5,'Mass Ion Calculations'!$F$18+'AA Exact Masses'!$Q$3-'Mass Ion Calculations'!$C$26-'Mass Ion Calculations'!$C36-'Mass Ion Calculations'!$D$5),IF('Mass Ion Calculations'!$D$7="Yes", 'Mass Ion Calculations'!$D$15+'AA Exact Masses'!$Q$3-'Mass Ion Calculations'!$C$26-'Mass Ion Calculations'!$C36-'Mass Ion Calculations'!$D$5,'Mass Ion Calculations'!$F$15+'AA Exact Masses'!$Q$3-'Mass Ion Calculations'!$C$26-'Mass Ion Calculations'!$C36-'Mass Ion Calculations'!$D$5)))</f>
        <v/>
      </c>
      <c r="Y35" s="3" t="str">
        <f>IF(OR($B35="",Y$3=""),"",IF('Mass Ion Calculations'!$D$6="Yes",('Mass Ion Calculations'!$D$15+'AA Exact Masses'!$Q$3-'Mass Ion Calculations'!$C$7-'Mass Ion Calculations'!$C36-'Mass Ion Calculations'!$D$5-18.01),('Mass Ion Calculations'!$D$15+'AA Exact Masses'!$Q$3-'Mass Ion Calculations'!$C$7-'Mass Ion Calculations'!$C36-'Mass Ion Calculations'!$D$5)))</f>
        <v/>
      </c>
      <c r="Z35" s="3" t="str">
        <f>IF(OR($B35="",Z$3=""),"",IF('Mass Ion Calculations'!$D$6="Yes",('Mass Ion Calculations'!$D$15+'AA Exact Masses'!$Q$3-'Mass Ion Calculations'!$C$7-'Mass Ion Calculations'!$C36-'Mass Ion Calculations'!$D$5-18.01),('Mass Ion Calculations'!$D$15+'AA Exact Masses'!$Q$3-'Mass Ion Calculations'!$C$7-'Mass Ion Calculations'!$C36-'Mass Ion Calculations'!$D$5)))</f>
        <v/>
      </c>
    </row>
    <row r="36" spans="3:26" x14ac:dyDescent="0.25">
      <c r="C36" s="3" t="str">
        <f>IF(OR($B36="",C$3=""),"",IF('Mass Ion Calculations'!$D$6="Yes",IF('Mass Ion Calculations'!$D$7="Yes",'Mass Ion Calculations'!$D$18+'AA Exact Masses'!$Q$3-'Mass Ion Calculations'!$C$5-'Mass Ion Calculations'!$C37-'Mass Ion Calculations'!$D$5,'Mass Ion Calculations'!$F$18+'AA Exact Masses'!$Q$3-'Mass Ion Calculations'!$E$5-'Mass Ion Calculations'!$E37-'Mass Ion Calculations'!$D$5),IF('Mass Ion Calculations'!$D$7="Yes", 'Mass Ion Calculations'!$D$15+'AA Exact Masses'!$Q$3-'Mass Ion Calculations'!$C$5-'Mass Ion Calculations'!$C37-'Mass Ion Calculations'!$D$5,'Mass Ion Calculations'!$F$15+'AA Exact Masses'!$Q$3-'Mass Ion Calculations'!$E$5-'Mass Ion Calculations'!$E37-'Mass Ion Calculations'!$D$5)))</f>
        <v/>
      </c>
      <c r="D36" s="3" t="str">
        <f>IF(OR($B36="",D$3=""),"",IF('Mass Ion Calculations'!$D$6="Yes",IF('Mass Ion Calculations'!$D$7="Yes",'Mass Ion Calculations'!$D$18+'AA Exact Masses'!$Q$3-'Mass Ion Calculations'!$C$6-'Mass Ion Calculations'!$C37-'Mass Ion Calculations'!$D$5,'Mass Ion Calculations'!$F$18+'AA Exact Masses'!$Q$3-'Mass Ion Calculations'!$E$6-'Mass Ion Calculations'!$E37-'Mass Ion Calculations'!$D$5),IF('Mass Ion Calculations'!$D$7="Yes", 'Mass Ion Calculations'!$D$15+'AA Exact Masses'!$Q$3-'Mass Ion Calculations'!$C$6-'Mass Ion Calculations'!$C37-'Mass Ion Calculations'!$D$5,'Mass Ion Calculations'!$F$15+'AA Exact Masses'!$Q$3-'Mass Ion Calculations'!$E$6-'Mass Ion Calculations'!$E37-'Mass Ion Calculations'!$D$5)))</f>
        <v/>
      </c>
      <c r="E36" s="3" t="str">
        <f>IF(OR($B36="",E$3=""),"",IF('Mass Ion Calculations'!$D$6="Yes",IF('Mass Ion Calculations'!$D$7="Yes",'Mass Ion Calculations'!$D$18+'AA Exact Masses'!$Q$3-'Mass Ion Calculations'!$C$7-'Mass Ion Calculations'!$C37-'Mass Ion Calculations'!$D$5,'Mass Ion Calculations'!$F$18+'AA Exact Masses'!$Q$3-'Mass Ion Calculations'!$E$7-'Mass Ion Calculations'!$E37-'Mass Ion Calculations'!$D$5),IF('Mass Ion Calculations'!$D$7="Yes", 'Mass Ion Calculations'!$D$15+'AA Exact Masses'!$Q$3-'Mass Ion Calculations'!$C$7-'Mass Ion Calculations'!$C37-'Mass Ion Calculations'!$D$5,'Mass Ion Calculations'!$F$15+'AA Exact Masses'!$Q$3-'Mass Ion Calculations'!$E$7-'Mass Ion Calculations'!$E37-'Mass Ion Calculations'!$D$5)))</f>
        <v/>
      </c>
      <c r="F36" s="3" t="str">
        <f>IF(OR($B36="",F$3=""),"",IF('Mass Ion Calculations'!$D$6="Yes",IF('Mass Ion Calculations'!$D$7="Yes",'Mass Ion Calculations'!$D$18+'AA Exact Masses'!$Q$3-'Mass Ion Calculations'!$C$8-'Mass Ion Calculations'!$C37-'Mass Ion Calculations'!$D$5,'Mass Ion Calculations'!$F$18+'AA Exact Masses'!$Q$3-'Mass Ion Calculations'!$E$8-'Mass Ion Calculations'!$E37-'Mass Ion Calculations'!$D$5),IF('Mass Ion Calculations'!$D$7="Yes", 'Mass Ion Calculations'!$D$15+'AA Exact Masses'!$Q$3-'Mass Ion Calculations'!$C$8-'Mass Ion Calculations'!$C37-'Mass Ion Calculations'!$D$5,'Mass Ion Calculations'!$F$15+'AA Exact Masses'!$Q$3-'Mass Ion Calculations'!$E$8-'Mass Ion Calculations'!$E37-'Mass Ion Calculations'!$D$5)))</f>
        <v/>
      </c>
      <c r="G36" s="3" t="str">
        <f>IF(OR($B36="",G$3=""),"",IF('Mass Ion Calculations'!$D$6="Yes",IF('Mass Ion Calculations'!$D$7="Yes",'Mass Ion Calculations'!$D$18+'AA Exact Masses'!$Q$3-'Mass Ion Calculations'!$C$9-'Mass Ion Calculations'!$C37-'Mass Ion Calculations'!$D$5,'Mass Ion Calculations'!$F$18+'AA Exact Masses'!$Q$3-'Mass Ion Calculations'!$E$9-'Mass Ion Calculations'!$E37-'Mass Ion Calculations'!$D$5),IF('Mass Ion Calculations'!$D$7="Yes", 'Mass Ion Calculations'!$D$15+'AA Exact Masses'!$Q$3-'Mass Ion Calculations'!$C$9-'Mass Ion Calculations'!$C37-'Mass Ion Calculations'!$D$5,'Mass Ion Calculations'!$F$15+'AA Exact Masses'!$Q$3-'Mass Ion Calculations'!$E$9-'Mass Ion Calculations'!$E37-'Mass Ion Calculations'!$D$5)))</f>
        <v/>
      </c>
      <c r="H36" s="3" t="str">
        <f>IF(OR($B36="",H$3=""),"",IF('Mass Ion Calculations'!$D$6="Yes",IF('Mass Ion Calculations'!$D$7="Yes",'Mass Ion Calculations'!$D$18+'AA Exact Masses'!$Q$3-'Mass Ion Calculations'!$C$10-'Mass Ion Calculations'!$C37-'Mass Ion Calculations'!$D$5,'Mass Ion Calculations'!$F$18+'AA Exact Masses'!$Q$3-'Mass Ion Calculations'!$E$10-'Mass Ion Calculations'!$E37-'Mass Ion Calculations'!$D$5),IF('Mass Ion Calculations'!$D$7="Yes", 'Mass Ion Calculations'!$D$15+'AA Exact Masses'!$Q$3-'Mass Ion Calculations'!$C$10-'Mass Ion Calculations'!$C37-'Mass Ion Calculations'!$D$5,'Mass Ion Calculations'!$F$15+'AA Exact Masses'!$Q$3-'Mass Ion Calculations'!$E$10-'Mass Ion Calculations'!$E37-'Mass Ion Calculations'!$D$5)))</f>
        <v/>
      </c>
      <c r="I36" s="3" t="str">
        <f>IF(OR($B36="",I$3=""),"",IF('Mass Ion Calculations'!$D$6="Yes",IF('Mass Ion Calculations'!$D$7="Yes",'Mass Ion Calculations'!$D$18+'AA Exact Masses'!$Q$3-'Mass Ion Calculations'!$C$11-'Mass Ion Calculations'!$C37-'Mass Ion Calculations'!$D$5,'Mass Ion Calculations'!$F$18+'AA Exact Masses'!$Q$3-'Mass Ion Calculations'!$E$11-'Mass Ion Calculations'!$E37-'Mass Ion Calculations'!$D$5),IF('Mass Ion Calculations'!$D$7="Yes", 'Mass Ion Calculations'!$D$15+'AA Exact Masses'!$Q$3-'Mass Ion Calculations'!$C$11-'Mass Ion Calculations'!$C37-'Mass Ion Calculations'!$D$5,'Mass Ion Calculations'!$F$15+'AA Exact Masses'!$Q$3-'Mass Ion Calculations'!$E$11-'Mass Ion Calculations'!$E37-'Mass Ion Calculations'!$D$5)))</f>
        <v/>
      </c>
      <c r="J36" s="3" t="str">
        <f>IF(OR($B36="",J$3=""),"",IF('Mass Ion Calculations'!$D$6="Yes",IF('Mass Ion Calculations'!$D$7="Yes",'Mass Ion Calculations'!$D$18+'AA Exact Masses'!$Q$3-'Mass Ion Calculations'!$C$12-'Mass Ion Calculations'!$C37-'Mass Ion Calculations'!$D$5,'Mass Ion Calculations'!$F$18+'AA Exact Masses'!$Q$3-'Mass Ion Calculations'!$E$12-'Mass Ion Calculations'!$E37-'Mass Ion Calculations'!$D$5),IF('Mass Ion Calculations'!$D$7="Yes", 'Mass Ion Calculations'!$D$15+'AA Exact Masses'!$Q$3-'Mass Ion Calculations'!$C$12-'Mass Ion Calculations'!$C37-'Mass Ion Calculations'!$D$5,'Mass Ion Calculations'!$F$15+'AA Exact Masses'!$Q$3-'Mass Ion Calculations'!$E$12-'Mass Ion Calculations'!$E37-'Mass Ion Calculations'!$D$5)))</f>
        <v/>
      </c>
      <c r="K36" s="3" t="str">
        <f>IF(OR($B36="",K$3=""),"",IF('Mass Ion Calculations'!$D$6="Yes",IF('Mass Ion Calculations'!$D$7="Yes",'Mass Ion Calculations'!$D$18+'AA Exact Masses'!$Q$3-'Mass Ion Calculations'!$C$13-'Mass Ion Calculations'!$C37-'Mass Ion Calculations'!$D$5,'Mass Ion Calculations'!$F$18+'AA Exact Masses'!$Q$3-'Mass Ion Calculations'!$E$14-'Mass Ion Calculations'!$E37-'Mass Ion Calculations'!$D$5),IF('Mass Ion Calculations'!$D$7="Yes", 'Mass Ion Calculations'!$D$15+'AA Exact Masses'!$Q$3-'Mass Ion Calculations'!$C$13-'Mass Ion Calculations'!$C37-'Mass Ion Calculations'!$D$5,'Mass Ion Calculations'!$F$15+'AA Exact Masses'!$Q$3-'Mass Ion Calculations'!$E$14-'Mass Ion Calculations'!$E37-'Mass Ion Calculations'!$D$5)))</f>
        <v/>
      </c>
      <c r="L36" s="3" t="str">
        <f>IF(OR($B36="",L$3=""),"",IF('Mass Ion Calculations'!$D$6="Yes",IF('Mass Ion Calculations'!$D$7="Yes",'Mass Ion Calculations'!$D$18+'AA Exact Masses'!$Q$3-'Mass Ion Calculations'!$C$14-'Mass Ion Calculations'!$C37-'Mass Ion Calculations'!$D$5,'Mass Ion Calculations'!$F$18+'AA Exact Masses'!$Q$3-'Mass Ion Calculations'!$E$15-'Mass Ion Calculations'!$E37-'Mass Ion Calculations'!$D$5),IF('Mass Ion Calculations'!$D$7="Yes", 'Mass Ion Calculations'!$D$15+'AA Exact Masses'!$Q$3-'Mass Ion Calculations'!$C$14-'Mass Ion Calculations'!$C37-'Mass Ion Calculations'!$D$5,'Mass Ion Calculations'!$F$15+'AA Exact Masses'!$Q$3-'Mass Ion Calculations'!$E$15-'Mass Ion Calculations'!$E37-'Mass Ion Calculations'!$D$5)))</f>
        <v/>
      </c>
      <c r="M36" s="3" t="str">
        <f>IF(OR($B36="",M$3=""),"",IF('Mass Ion Calculations'!$D$6="Yes",IF('Mass Ion Calculations'!$D$7="Yes",'Mass Ion Calculations'!$D$18+'AA Exact Masses'!$Q$3-'Mass Ion Calculations'!$C$15-'Mass Ion Calculations'!$C37-'Mass Ion Calculations'!$D$5,'Mass Ion Calculations'!$F$18+'AA Exact Masses'!$Q$3-'Mass Ion Calculations'!$E$16-'Mass Ion Calculations'!$E37-'Mass Ion Calculations'!$D$5),IF('Mass Ion Calculations'!$D$7="Yes", 'Mass Ion Calculations'!$D$15+'AA Exact Masses'!$Q$3-'Mass Ion Calculations'!$C$15-'Mass Ion Calculations'!$C37-'Mass Ion Calculations'!$D$5,'Mass Ion Calculations'!$F$15+'AA Exact Masses'!$Q$3-'Mass Ion Calculations'!$E$16-'Mass Ion Calculations'!$E37-'Mass Ion Calculations'!$D$5)))</f>
        <v/>
      </c>
      <c r="N36" s="3" t="str">
        <f>IF(OR($B36="",N$3=""),"",IF('Mass Ion Calculations'!$D$6="Yes",IF('Mass Ion Calculations'!$D$7="Yes",'Mass Ion Calculations'!$D$18+'AA Exact Masses'!$Q$3-'Mass Ion Calculations'!$C$16-'Mass Ion Calculations'!$C37-'Mass Ion Calculations'!$D$5,'Mass Ion Calculations'!$F$18+'AA Exact Masses'!$Q$3-'Mass Ion Calculations'!$E$17-'Mass Ion Calculations'!$E37-'Mass Ion Calculations'!$D$5),IF('Mass Ion Calculations'!$D$7="Yes", 'Mass Ion Calculations'!$D$15+'AA Exact Masses'!$Q$3-'Mass Ion Calculations'!$C$16-'Mass Ion Calculations'!$C37-'Mass Ion Calculations'!$D$5,'Mass Ion Calculations'!$F$15+'AA Exact Masses'!$Q$3-'Mass Ion Calculations'!$E$17-'Mass Ion Calculations'!$E37-'Mass Ion Calculations'!$D$5)))</f>
        <v/>
      </c>
      <c r="O36" s="3" t="str">
        <f>IF(OR($B36="",O$3=""),"",IF('Mass Ion Calculations'!$D$6="Yes",IF('Mass Ion Calculations'!$D$7="Yes",'Mass Ion Calculations'!$D$18+'AA Exact Masses'!$Q$3-'Mass Ion Calculations'!$C$17-'Mass Ion Calculations'!$C37-'Mass Ion Calculations'!$D$5,'Mass Ion Calculations'!$F$18+'AA Exact Masses'!$Q$3-'Mass Ion Calculations'!$E$18-'Mass Ion Calculations'!$E37-'Mass Ion Calculations'!$D$5),IF('Mass Ion Calculations'!$D$7="Yes", 'Mass Ion Calculations'!$D$15+'AA Exact Masses'!$Q$3-'Mass Ion Calculations'!$C$17-'Mass Ion Calculations'!$C37-'Mass Ion Calculations'!$D$5,'Mass Ion Calculations'!$F$15+'AA Exact Masses'!$Q$3-'Mass Ion Calculations'!$E$18-'Mass Ion Calculations'!$E37-'Mass Ion Calculations'!$D$5)))</f>
        <v/>
      </c>
      <c r="P36" s="3" t="str">
        <f>IF(OR($B36="",P$3=""),"",IF('Mass Ion Calculations'!$D$6="Yes",IF('Mass Ion Calculations'!$D$7="Yes",'Mass Ion Calculations'!$D$18+'AA Exact Masses'!$Q$3-'Mass Ion Calculations'!$C$18-'Mass Ion Calculations'!$C37-'Mass Ion Calculations'!$D$5,'Mass Ion Calculations'!$F$18+'AA Exact Masses'!$Q$3-'Mass Ion Calculations'!$C$18-'Mass Ion Calculations'!$C37-'Mass Ion Calculations'!$D$5),IF('Mass Ion Calculations'!$D$7="Yes", 'Mass Ion Calculations'!$D$15+'AA Exact Masses'!$Q$3-'Mass Ion Calculations'!$C$18-'Mass Ion Calculations'!$C37-'Mass Ion Calculations'!$D$5,'Mass Ion Calculations'!$F$15+'AA Exact Masses'!$Q$3-'Mass Ion Calculations'!$C$18-'Mass Ion Calculations'!$C37-'Mass Ion Calculations'!$D$5)))</f>
        <v/>
      </c>
      <c r="Q36" s="3" t="str">
        <f>IF(OR($B36="",Q$3=""),"",IF('Mass Ion Calculations'!$D$6="Yes",IF('Mass Ion Calculations'!$D$7="Yes",'Mass Ion Calculations'!$D$18+'AA Exact Masses'!$Q$3-'Mass Ion Calculations'!$C$19-'Mass Ion Calculations'!$C37-'Mass Ion Calculations'!$D$5,'Mass Ion Calculations'!$F$18+'AA Exact Masses'!$Q$3-'Mass Ion Calculations'!$C$19-'Mass Ion Calculations'!$C37-'Mass Ion Calculations'!$D$5),IF('Mass Ion Calculations'!$D$7="Yes", 'Mass Ion Calculations'!$D$15+'AA Exact Masses'!$Q$3-'Mass Ion Calculations'!$C$19-'Mass Ion Calculations'!$C37-'Mass Ion Calculations'!$D$5,'Mass Ion Calculations'!$F$15+'AA Exact Masses'!$Q$3-'Mass Ion Calculations'!$C$19-'Mass Ion Calculations'!$C37-'Mass Ion Calculations'!$D$5)))</f>
        <v/>
      </c>
      <c r="R36" s="3" t="str">
        <f>IF(OR($B36="",R$3=""),"",IF('Mass Ion Calculations'!$D$6="Yes",IF('Mass Ion Calculations'!$D$7="Yes",'Mass Ion Calculations'!$D$18+'AA Exact Masses'!$Q$3-'Mass Ion Calculations'!$C$20-'Mass Ion Calculations'!$C37-'Mass Ion Calculations'!$D$5,'Mass Ion Calculations'!$F$18+'AA Exact Masses'!$Q$3-'Mass Ion Calculations'!$C$20-'Mass Ion Calculations'!$C37-'Mass Ion Calculations'!$D$5),IF('Mass Ion Calculations'!$D$7="Yes", 'Mass Ion Calculations'!$D$15+'AA Exact Masses'!$Q$3-'Mass Ion Calculations'!$C$20-'Mass Ion Calculations'!$C37-'Mass Ion Calculations'!$D$5,'Mass Ion Calculations'!$F$15+'AA Exact Masses'!$Q$3-'Mass Ion Calculations'!$C$20-'Mass Ion Calculations'!$C37-'Mass Ion Calculations'!$D$5)))</f>
        <v/>
      </c>
      <c r="S36" s="3" t="str">
        <f>IF(OR($B36="",S$3=""),"",IF('Mass Ion Calculations'!$D$6="Yes",IF('Mass Ion Calculations'!$D$7="Yes",'Mass Ion Calculations'!$D$18+'AA Exact Masses'!$Q$3-'Mass Ion Calculations'!$C$21-'Mass Ion Calculations'!$C37-'Mass Ion Calculations'!$D$5,'Mass Ion Calculations'!$F$18+'AA Exact Masses'!$Q$3-'Mass Ion Calculations'!$C$21-'Mass Ion Calculations'!$C37-'Mass Ion Calculations'!$D$5),IF('Mass Ion Calculations'!$D$7="Yes", 'Mass Ion Calculations'!$D$15+'AA Exact Masses'!$Q$3-'Mass Ion Calculations'!$C$21-'Mass Ion Calculations'!$C37-'Mass Ion Calculations'!$D$5,'Mass Ion Calculations'!$F$15+'AA Exact Masses'!$Q$3-'Mass Ion Calculations'!$C$21-'Mass Ion Calculations'!$C37-'Mass Ion Calculations'!$D$5)))</f>
        <v/>
      </c>
      <c r="T36" s="3" t="str">
        <f>IF(OR($B36="",T$3=""),"",IF('Mass Ion Calculations'!$D$6="Yes",IF('Mass Ion Calculations'!$D$7="Yes",'Mass Ion Calculations'!$D$18+'AA Exact Masses'!$Q$3-'Mass Ion Calculations'!$C$22-'Mass Ion Calculations'!$C37-'Mass Ion Calculations'!$D$5,'Mass Ion Calculations'!$F$18+'AA Exact Masses'!$Q$3-'Mass Ion Calculations'!$C$22-'Mass Ion Calculations'!$C37-'Mass Ion Calculations'!$D$5),IF('Mass Ion Calculations'!$D$7="Yes", 'Mass Ion Calculations'!$D$15+'AA Exact Masses'!$Q$3-'Mass Ion Calculations'!$C$22-'Mass Ion Calculations'!$C37-'Mass Ion Calculations'!$D$5,'Mass Ion Calculations'!$F$15+'AA Exact Masses'!$Q$3-'Mass Ion Calculations'!$C$22-'Mass Ion Calculations'!$C37-'Mass Ion Calculations'!$D$5)))</f>
        <v/>
      </c>
      <c r="U36" s="3" t="str">
        <f>IF(OR($B36="",U$3=""),"",IF('Mass Ion Calculations'!$D$6="Yes",IF('Mass Ion Calculations'!$D$7="Yes",'Mass Ion Calculations'!$D$18+'AA Exact Masses'!$Q$3-'Mass Ion Calculations'!$C$23-'Mass Ion Calculations'!$C37-'Mass Ion Calculations'!$D$5,'Mass Ion Calculations'!$F$18+'AA Exact Masses'!$Q$3-'Mass Ion Calculations'!$C$23-'Mass Ion Calculations'!$C37-'Mass Ion Calculations'!$D$5),IF('Mass Ion Calculations'!$D$7="Yes", 'Mass Ion Calculations'!$D$15+'AA Exact Masses'!$Q$3-'Mass Ion Calculations'!$C$23-'Mass Ion Calculations'!$C37-'Mass Ion Calculations'!$D$5,'Mass Ion Calculations'!$F$15+'AA Exact Masses'!$Q$3-'Mass Ion Calculations'!$C$23-'Mass Ion Calculations'!$C37-'Mass Ion Calculations'!$D$5)))</f>
        <v/>
      </c>
      <c r="V36" s="3" t="str">
        <f>IF(OR($B36="",V$3=""),"",IF('Mass Ion Calculations'!$D$6="Yes",IF('Mass Ion Calculations'!$D$7="Yes",'Mass Ion Calculations'!$D$18+'AA Exact Masses'!$Q$3-'Mass Ion Calculations'!$C$24-'Mass Ion Calculations'!$C37-'Mass Ion Calculations'!$D$5,'Mass Ion Calculations'!$F$18+'AA Exact Masses'!$Q$3-'Mass Ion Calculations'!$C$24-'Mass Ion Calculations'!$C37-'Mass Ion Calculations'!$D$5),IF('Mass Ion Calculations'!$D$7="Yes", 'Mass Ion Calculations'!$D$15+'AA Exact Masses'!$Q$3-'Mass Ion Calculations'!$C$24-'Mass Ion Calculations'!$C37-'Mass Ion Calculations'!$D$5,'Mass Ion Calculations'!$F$15+'AA Exact Masses'!$Q$3-'Mass Ion Calculations'!$C$24-'Mass Ion Calculations'!$C37-'Mass Ion Calculations'!$D$5)))</f>
        <v/>
      </c>
      <c r="W36" s="3" t="str">
        <f>IF(OR($B36="",W$3=""),"",IF('Mass Ion Calculations'!$D$6="Yes",IF('Mass Ion Calculations'!$D$7="Yes",'Mass Ion Calculations'!$D$18+'AA Exact Masses'!$Q$3-'Mass Ion Calculations'!$C$25-'Mass Ion Calculations'!$C37-'Mass Ion Calculations'!$D$5,'Mass Ion Calculations'!$F$18+'AA Exact Masses'!$Q$3-'Mass Ion Calculations'!$C$25-'Mass Ion Calculations'!$C37-'Mass Ion Calculations'!$D$5),IF('Mass Ion Calculations'!$D$7="Yes", 'Mass Ion Calculations'!$D$15+'AA Exact Masses'!$Q$3-'Mass Ion Calculations'!$C$25-'Mass Ion Calculations'!$C37-'Mass Ion Calculations'!$D$5,'Mass Ion Calculations'!$F$15+'AA Exact Masses'!$Q$3-'Mass Ion Calculations'!$C$25-'Mass Ion Calculations'!$C37-'Mass Ion Calculations'!$D$5)))</f>
        <v/>
      </c>
      <c r="X36" s="3" t="str">
        <f>IF(OR($B36="",X$3=""),"",IF('Mass Ion Calculations'!$D$6="Yes",IF('Mass Ion Calculations'!$D$7="Yes",'Mass Ion Calculations'!$D$18+'AA Exact Masses'!$Q$3-'Mass Ion Calculations'!$C$26-'Mass Ion Calculations'!$C37-'Mass Ion Calculations'!$D$5,'Mass Ion Calculations'!$F$18+'AA Exact Masses'!$Q$3-'Mass Ion Calculations'!$C$26-'Mass Ion Calculations'!$C37-'Mass Ion Calculations'!$D$5),IF('Mass Ion Calculations'!$D$7="Yes", 'Mass Ion Calculations'!$D$15+'AA Exact Masses'!$Q$3-'Mass Ion Calculations'!$C$26-'Mass Ion Calculations'!$C37-'Mass Ion Calculations'!$D$5,'Mass Ion Calculations'!$F$15+'AA Exact Masses'!$Q$3-'Mass Ion Calculations'!$C$26-'Mass Ion Calculations'!$C37-'Mass Ion Calculations'!$D$5)))</f>
        <v/>
      </c>
      <c r="Y36" s="3" t="str">
        <f>IF(OR($B36="",Y$3=""),"",IF('Mass Ion Calculations'!$D$6="Yes",('Mass Ion Calculations'!$D$15+'AA Exact Masses'!$Q$3-'Mass Ion Calculations'!$C$7-'Mass Ion Calculations'!$C37-'Mass Ion Calculations'!$D$5-18.01),('Mass Ion Calculations'!$D$15+'AA Exact Masses'!$Q$3-'Mass Ion Calculations'!$C$7-'Mass Ion Calculations'!$C37-'Mass Ion Calculations'!$D$5)))</f>
        <v/>
      </c>
      <c r="Z36" s="3" t="str">
        <f>IF(OR($B36="",Z$3=""),"",IF('Mass Ion Calculations'!$D$6="Yes",('Mass Ion Calculations'!$D$15+'AA Exact Masses'!$Q$3-'Mass Ion Calculations'!$C$7-'Mass Ion Calculations'!$C37-'Mass Ion Calculations'!$D$5-18.01),('Mass Ion Calculations'!$D$15+'AA Exact Masses'!$Q$3-'Mass Ion Calculations'!$C$7-'Mass Ion Calculations'!$C37-'Mass Ion Calculations'!$D$5)))</f>
        <v/>
      </c>
    </row>
    <row r="37" spans="3:26" x14ac:dyDescent="0.25">
      <c r="C37" s="3" t="str">
        <f>IF(OR($B37="",C$3=""),"",IF('Mass Ion Calculations'!$D$6="Yes",IF('Mass Ion Calculations'!$D$7="Yes",'Mass Ion Calculations'!$D$18+'AA Exact Masses'!$Q$3-'Mass Ion Calculations'!$C$5-'Mass Ion Calculations'!$C38-'Mass Ion Calculations'!$D$5,'Mass Ion Calculations'!$F$18+'AA Exact Masses'!$Q$3-'Mass Ion Calculations'!$E$5-'Mass Ion Calculations'!$E38-'Mass Ion Calculations'!$D$5),IF('Mass Ion Calculations'!$D$7="Yes", 'Mass Ion Calculations'!$D$15+'AA Exact Masses'!$Q$3-'Mass Ion Calculations'!$C$5-'Mass Ion Calculations'!$C38-'Mass Ion Calculations'!$D$5,'Mass Ion Calculations'!$F$15+'AA Exact Masses'!$Q$3-'Mass Ion Calculations'!$E$5-'Mass Ion Calculations'!$E38-'Mass Ion Calculations'!$D$5)))</f>
        <v/>
      </c>
      <c r="D37" s="3" t="str">
        <f>IF(OR($B37="",D$3=""),"",IF('Mass Ion Calculations'!$D$6="Yes",IF('Mass Ion Calculations'!$D$7="Yes",'Mass Ion Calculations'!$D$18+'AA Exact Masses'!$Q$3-'Mass Ion Calculations'!$C$6-'Mass Ion Calculations'!$C38-'Mass Ion Calculations'!$D$5,'Mass Ion Calculations'!$F$18+'AA Exact Masses'!$Q$3-'Mass Ion Calculations'!$E$6-'Mass Ion Calculations'!$E38-'Mass Ion Calculations'!$D$5),IF('Mass Ion Calculations'!$D$7="Yes", 'Mass Ion Calculations'!$D$15+'AA Exact Masses'!$Q$3-'Mass Ion Calculations'!$C$6-'Mass Ion Calculations'!$C38-'Mass Ion Calculations'!$D$5,'Mass Ion Calculations'!$F$15+'AA Exact Masses'!$Q$3-'Mass Ion Calculations'!$E$6-'Mass Ion Calculations'!$E38-'Mass Ion Calculations'!$D$5)))</f>
        <v/>
      </c>
      <c r="E37" s="3" t="str">
        <f>IF(OR($B37="",E$3=""),"",IF('Mass Ion Calculations'!$D$6="Yes",IF('Mass Ion Calculations'!$D$7="Yes",'Mass Ion Calculations'!$D$18+'AA Exact Masses'!$Q$3-'Mass Ion Calculations'!$C$7-'Mass Ion Calculations'!$C38-'Mass Ion Calculations'!$D$5,'Mass Ion Calculations'!$F$18+'AA Exact Masses'!$Q$3-'Mass Ion Calculations'!$E$7-'Mass Ion Calculations'!$E38-'Mass Ion Calculations'!$D$5),IF('Mass Ion Calculations'!$D$7="Yes", 'Mass Ion Calculations'!$D$15+'AA Exact Masses'!$Q$3-'Mass Ion Calculations'!$C$7-'Mass Ion Calculations'!$C38-'Mass Ion Calculations'!$D$5,'Mass Ion Calculations'!$F$15+'AA Exact Masses'!$Q$3-'Mass Ion Calculations'!$E$7-'Mass Ion Calculations'!$E38-'Mass Ion Calculations'!$D$5)))</f>
        <v/>
      </c>
      <c r="F37" s="3" t="str">
        <f>IF(OR($B37="",F$3=""),"",IF('Mass Ion Calculations'!$D$6="Yes",IF('Mass Ion Calculations'!$D$7="Yes",'Mass Ion Calculations'!$D$18+'AA Exact Masses'!$Q$3-'Mass Ion Calculations'!$C$8-'Mass Ion Calculations'!$C38-'Mass Ion Calculations'!$D$5,'Mass Ion Calculations'!$F$18+'AA Exact Masses'!$Q$3-'Mass Ion Calculations'!$E$8-'Mass Ion Calculations'!$E38-'Mass Ion Calculations'!$D$5),IF('Mass Ion Calculations'!$D$7="Yes", 'Mass Ion Calculations'!$D$15+'AA Exact Masses'!$Q$3-'Mass Ion Calculations'!$C$8-'Mass Ion Calculations'!$C38-'Mass Ion Calculations'!$D$5,'Mass Ion Calculations'!$F$15+'AA Exact Masses'!$Q$3-'Mass Ion Calculations'!$E$8-'Mass Ion Calculations'!$E38-'Mass Ion Calculations'!$D$5)))</f>
        <v/>
      </c>
      <c r="G37" s="3" t="str">
        <f>IF(OR($B37="",G$3=""),"",IF('Mass Ion Calculations'!$D$6="Yes",IF('Mass Ion Calculations'!$D$7="Yes",'Mass Ion Calculations'!$D$18+'AA Exact Masses'!$Q$3-'Mass Ion Calculations'!$C$9-'Mass Ion Calculations'!$C38-'Mass Ion Calculations'!$D$5,'Mass Ion Calculations'!$F$18+'AA Exact Masses'!$Q$3-'Mass Ion Calculations'!$E$9-'Mass Ion Calculations'!$E38-'Mass Ion Calculations'!$D$5),IF('Mass Ion Calculations'!$D$7="Yes", 'Mass Ion Calculations'!$D$15+'AA Exact Masses'!$Q$3-'Mass Ion Calculations'!$C$9-'Mass Ion Calculations'!$C38-'Mass Ion Calculations'!$D$5,'Mass Ion Calculations'!$F$15+'AA Exact Masses'!$Q$3-'Mass Ion Calculations'!$E$9-'Mass Ion Calculations'!$E38-'Mass Ion Calculations'!$D$5)))</f>
        <v/>
      </c>
      <c r="H37" s="3" t="str">
        <f>IF(OR($B37="",H$3=""),"",IF('Mass Ion Calculations'!$D$6="Yes",IF('Mass Ion Calculations'!$D$7="Yes",'Mass Ion Calculations'!$D$18+'AA Exact Masses'!$Q$3-'Mass Ion Calculations'!$C$10-'Mass Ion Calculations'!$C38-'Mass Ion Calculations'!$D$5,'Mass Ion Calculations'!$F$18+'AA Exact Masses'!$Q$3-'Mass Ion Calculations'!$E$10-'Mass Ion Calculations'!$E38-'Mass Ion Calculations'!$D$5),IF('Mass Ion Calculations'!$D$7="Yes", 'Mass Ion Calculations'!$D$15+'AA Exact Masses'!$Q$3-'Mass Ion Calculations'!$C$10-'Mass Ion Calculations'!$C38-'Mass Ion Calculations'!$D$5,'Mass Ion Calculations'!$F$15+'AA Exact Masses'!$Q$3-'Mass Ion Calculations'!$E$10-'Mass Ion Calculations'!$E38-'Mass Ion Calculations'!$D$5)))</f>
        <v/>
      </c>
      <c r="I37" s="3" t="str">
        <f>IF(OR($B37="",I$3=""),"",IF('Mass Ion Calculations'!$D$6="Yes",IF('Mass Ion Calculations'!$D$7="Yes",'Mass Ion Calculations'!$D$18+'AA Exact Masses'!$Q$3-'Mass Ion Calculations'!$C$11-'Mass Ion Calculations'!$C38-'Mass Ion Calculations'!$D$5,'Mass Ion Calculations'!$F$18+'AA Exact Masses'!$Q$3-'Mass Ion Calculations'!$E$11-'Mass Ion Calculations'!$E38-'Mass Ion Calculations'!$D$5),IF('Mass Ion Calculations'!$D$7="Yes", 'Mass Ion Calculations'!$D$15+'AA Exact Masses'!$Q$3-'Mass Ion Calculations'!$C$11-'Mass Ion Calculations'!$C38-'Mass Ion Calculations'!$D$5,'Mass Ion Calculations'!$F$15+'AA Exact Masses'!$Q$3-'Mass Ion Calculations'!$E$11-'Mass Ion Calculations'!$E38-'Mass Ion Calculations'!$D$5)))</f>
        <v/>
      </c>
      <c r="J37" s="3" t="str">
        <f>IF(OR($B37="",J$3=""),"",IF('Mass Ion Calculations'!$D$6="Yes",IF('Mass Ion Calculations'!$D$7="Yes",'Mass Ion Calculations'!$D$18+'AA Exact Masses'!$Q$3-'Mass Ion Calculations'!$C$12-'Mass Ion Calculations'!$C38-'Mass Ion Calculations'!$D$5,'Mass Ion Calculations'!$F$18+'AA Exact Masses'!$Q$3-'Mass Ion Calculations'!$E$12-'Mass Ion Calculations'!$E38-'Mass Ion Calculations'!$D$5),IF('Mass Ion Calculations'!$D$7="Yes", 'Mass Ion Calculations'!$D$15+'AA Exact Masses'!$Q$3-'Mass Ion Calculations'!$C$12-'Mass Ion Calculations'!$C38-'Mass Ion Calculations'!$D$5,'Mass Ion Calculations'!$F$15+'AA Exact Masses'!$Q$3-'Mass Ion Calculations'!$E$12-'Mass Ion Calculations'!$E38-'Mass Ion Calculations'!$D$5)))</f>
        <v/>
      </c>
      <c r="K37" s="3" t="str">
        <f>IF(OR($B37="",K$3=""),"",IF('Mass Ion Calculations'!$D$6="Yes",IF('Mass Ion Calculations'!$D$7="Yes",'Mass Ion Calculations'!$D$18+'AA Exact Masses'!$Q$3-'Mass Ion Calculations'!$C$13-'Mass Ion Calculations'!$C38-'Mass Ion Calculations'!$D$5,'Mass Ion Calculations'!$F$18+'AA Exact Masses'!$Q$3-'Mass Ion Calculations'!$E$14-'Mass Ion Calculations'!$E38-'Mass Ion Calculations'!$D$5),IF('Mass Ion Calculations'!$D$7="Yes", 'Mass Ion Calculations'!$D$15+'AA Exact Masses'!$Q$3-'Mass Ion Calculations'!$C$13-'Mass Ion Calculations'!$C38-'Mass Ion Calculations'!$D$5,'Mass Ion Calculations'!$F$15+'AA Exact Masses'!$Q$3-'Mass Ion Calculations'!$E$14-'Mass Ion Calculations'!$E38-'Mass Ion Calculations'!$D$5)))</f>
        <v/>
      </c>
      <c r="L37" s="3" t="str">
        <f>IF(OR($B37="",L$3=""),"",IF('Mass Ion Calculations'!$D$6="Yes",IF('Mass Ion Calculations'!$D$7="Yes",'Mass Ion Calculations'!$D$18+'AA Exact Masses'!$Q$3-'Mass Ion Calculations'!$C$14-'Mass Ion Calculations'!$C38-'Mass Ion Calculations'!$D$5,'Mass Ion Calculations'!$F$18+'AA Exact Masses'!$Q$3-'Mass Ion Calculations'!$E$15-'Mass Ion Calculations'!$E38-'Mass Ion Calculations'!$D$5),IF('Mass Ion Calculations'!$D$7="Yes", 'Mass Ion Calculations'!$D$15+'AA Exact Masses'!$Q$3-'Mass Ion Calculations'!$C$14-'Mass Ion Calculations'!$C38-'Mass Ion Calculations'!$D$5,'Mass Ion Calculations'!$F$15+'AA Exact Masses'!$Q$3-'Mass Ion Calculations'!$E$15-'Mass Ion Calculations'!$E38-'Mass Ion Calculations'!$D$5)))</f>
        <v/>
      </c>
      <c r="M37" s="3" t="str">
        <f>IF(OR($B37="",M$3=""),"",IF('Mass Ion Calculations'!$D$6="Yes",IF('Mass Ion Calculations'!$D$7="Yes",'Mass Ion Calculations'!$D$18+'AA Exact Masses'!$Q$3-'Mass Ion Calculations'!$C$15-'Mass Ion Calculations'!$C38-'Mass Ion Calculations'!$D$5,'Mass Ion Calculations'!$F$18+'AA Exact Masses'!$Q$3-'Mass Ion Calculations'!$E$16-'Mass Ion Calculations'!$E38-'Mass Ion Calculations'!$D$5),IF('Mass Ion Calculations'!$D$7="Yes", 'Mass Ion Calculations'!$D$15+'AA Exact Masses'!$Q$3-'Mass Ion Calculations'!$C$15-'Mass Ion Calculations'!$C38-'Mass Ion Calculations'!$D$5,'Mass Ion Calculations'!$F$15+'AA Exact Masses'!$Q$3-'Mass Ion Calculations'!$E$16-'Mass Ion Calculations'!$E38-'Mass Ion Calculations'!$D$5)))</f>
        <v/>
      </c>
      <c r="N37" s="3" t="str">
        <f>IF(OR($B37="",N$3=""),"",IF('Mass Ion Calculations'!$D$6="Yes",IF('Mass Ion Calculations'!$D$7="Yes",'Mass Ion Calculations'!$D$18+'AA Exact Masses'!$Q$3-'Mass Ion Calculations'!$C$16-'Mass Ion Calculations'!$C38-'Mass Ion Calculations'!$D$5,'Mass Ion Calculations'!$F$18+'AA Exact Masses'!$Q$3-'Mass Ion Calculations'!$E$17-'Mass Ion Calculations'!$E38-'Mass Ion Calculations'!$D$5),IF('Mass Ion Calculations'!$D$7="Yes", 'Mass Ion Calculations'!$D$15+'AA Exact Masses'!$Q$3-'Mass Ion Calculations'!$C$16-'Mass Ion Calculations'!$C38-'Mass Ion Calculations'!$D$5,'Mass Ion Calculations'!$F$15+'AA Exact Masses'!$Q$3-'Mass Ion Calculations'!$E$17-'Mass Ion Calculations'!$E38-'Mass Ion Calculations'!$D$5)))</f>
        <v/>
      </c>
      <c r="O37" s="3" t="str">
        <f>IF(OR($B37="",O$3=""),"",IF('Mass Ion Calculations'!$D$6="Yes",IF('Mass Ion Calculations'!$D$7="Yes",'Mass Ion Calculations'!$D$18+'AA Exact Masses'!$Q$3-'Mass Ion Calculations'!$C$17-'Mass Ion Calculations'!$C38-'Mass Ion Calculations'!$D$5,'Mass Ion Calculations'!$F$18+'AA Exact Masses'!$Q$3-'Mass Ion Calculations'!$E$18-'Mass Ion Calculations'!$E38-'Mass Ion Calculations'!$D$5),IF('Mass Ion Calculations'!$D$7="Yes", 'Mass Ion Calculations'!$D$15+'AA Exact Masses'!$Q$3-'Mass Ion Calculations'!$C$17-'Mass Ion Calculations'!$C38-'Mass Ion Calculations'!$D$5,'Mass Ion Calculations'!$F$15+'AA Exact Masses'!$Q$3-'Mass Ion Calculations'!$E$18-'Mass Ion Calculations'!$E38-'Mass Ion Calculations'!$D$5)))</f>
        <v/>
      </c>
      <c r="P37" s="3" t="str">
        <f>IF(OR($B37="",P$3=""),"",IF('Mass Ion Calculations'!$D$6="Yes",IF('Mass Ion Calculations'!$D$7="Yes",'Mass Ion Calculations'!$D$18+'AA Exact Masses'!$Q$3-'Mass Ion Calculations'!$C$18-'Mass Ion Calculations'!$C38-'Mass Ion Calculations'!$D$5,'Mass Ion Calculations'!$F$18+'AA Exact Masses'!$Q$3-'Mass Ion Calculations'!$C$18-'Mass Ion Calculations'!$C38-'Mass Ion Calculations'!$D$5),IF('Mass Ion Calculations'!$D$7="Yes", 'Mass Ion Calculations'!$D$15+'AA Exact Masses'!$Q$3-'Mass Ion Calculations'!$C$18-'Mass Ion Calculations'!$C38-'Mass Ion Calculations'!$D$5,'Mass Ion Calculations'!$F$15+'AA Exact Masses'!$Q$3-'Mass Ion Calculations'!$C$18-'Mass Ion Calculations'!$C38-'Mass Ion Calculations'!$D$5)))</f>
        <v/>
      </c>
      <c r="Q37" s="3" t="str">
        <f>IF(OR($B37="",Q$3=""),"",IF('Mass Ion Calculations'!$D$6="Yes",IF('Mass Ion Calculations'!$D$7="Yes",'Mass Ion Calculations'!$D$18+'AA Exact Masses'!$Q$3-'Mass Ion Calculations'!$C$19-'Mass Ion Calculations'!$C38-'Mass Ion Calculations'!$D$5,'Mass Ion Calculations'!$F$18+'AA Exact Masses'!$Q$3-'Mass Ion Calculations'!$C$19-'Mass Ion Calculations'!$C38-'Mass Ion Calculations'!$D$5),IF('Mass Ion Calculations'!$D$7="Yes", 'Mass Ion Calculations'!$D$15+'AA Exact Masses'!$Q$3-'Mass Ion Calculations'!$C$19-'Mass Ion Calculations'!$C38-'Mass Ion Calculations'!$D$5,'Mass Ion Calculations'!$F$15+'AA Exact Masses'!$Q$3-'Mass Ion Calculations'!$C$19-'Mass Ion Calculations'!$C38-'Mass Ion Calculations'!$D$5)))</f>
        <v/>
      </c>
      <c r="R37" s="3" t="str">
        <f>IF(OR($B37="",R$3=""),"",IF('Mass Ion Calculations'!$D$6="Yes",IF('Mass Ion Calculations'!$D$7="Yes",'Mass Ion Calculations'!$D$18+'AA Exact Masses'!$Q$3-'Mass Ion Calculations'!$C$20-'Mass Ion Calculations'!$C38-'Mass Ion Calculations'!$D$5,'Mass Ion Calculations'!$F$18+'AA Exact Masses'!$Q$3-'Mass Ion Calculations'!$C$20-'Mass Ion Calculations'!$C38-'Mass Ion Calculations'!$D$5),IF('Mass Ion Calculations'!$D$7="Yes", 'Mass Ion Calculations'!$D$15+'AA Exact Masses'!$Q$3-'Mass Ion Calculations'!$C$20-'Mass Ion Calculations'!$C38-'Mass Ion Calculations'!$D$5,'Mass Ion Calculations'!$F$15+'AA Exact Masses'!$Q$3-'Mass Ion Calculations'!$C$20-'Mass Ion Calculations'!$C38-'Mass Ion Calculations'!$D$5)))</f>
        <v/>
      </c>
      <c r="S37" s="3" t="str">
        <f>IF(OR($B37="",S$3=""),"",IF('Mass Ion Calculations'!$D$6="Yes",IF('Mass Ion Calculations'!$D$7="Yes",'Mass Ion Calculations'!$D$18+'AA Exact Masses'!$Q$3-'Mass Ion Calculations'!$C$21-'Mass Ion Calculations'!$C38-'Mass Ion Calculations'!$D$5,'Mass Ion Calculations'!$F$18+'AA Exact Masses'!$Q$3-'Mass Ion Calculations'!$C$21-'Mass Ion Calculations'!$C38-'Mass Ion Calculations'!$D$5),IF('Mass Ion Calculations'!$D$7="Yes", 'Mass Ion Calculations'!$D$15+'AA Exact Masses'!$Q$3-'Mass Ion Calculations'!$C$21-'Mass Ion Calculations'!$C38-'Mass Ion Calculations'!$D$5,'Mass Ion Calculations'!$F$15+'AA Exact Masses'!$Q$3-'Mass Ion Calculations'!$C$21-'Mass Ion Calculations'!$C38-'Mass Ion Calculations'!$D$5)))</f>
        <v/>
      </c>
      <c r="T37" s="3" t="str">
        <f>IF(OR($B37="",T$3=""),"",IF('Mass Ion Calculations'!$D$6="Yes",IF('Mass Ion Calculations'!$D$7="Yes",'Mass Ion Calculations'!$D$18+'AA Exact Masses'!$Q$3-'Mass Ion Calculations'!$C$22-'Mass Ion Calculations'!$C38-'Mass Ion Calculations'!$D$5,'Mass Ion Calculations'!$F$18+'AA Exact Masses'!$Q$3-'Mass Ion Calculations'!$C$22-'Mass Ion Calculations'!$C38-'Mass Ion Calculations'!$D$5),IF('Mass Ion Calculations'!$D$7="Yes", 'Mass Ion Calculations'!$D$15+'AA Exact Masses'!$Q$3-'Mass Ion Calculations'!$C$22-'Mass Ion Calculations'!$C38-'Mass Ion Calculations'!$D$5,'Mass Ion Calculations'!$F$15+'AA Exact Masses'!$Q$3-'Mass Ion Calculations'!$C$22-'Mass Ion Calculations'!$C38-'Mass Ion Calculations'!$D$5)))</f>
        <v/>
      </c>
      <c r="U37" s="3" t="str">
        <f>IF(OR($B37="",U$3=""),"",IF('Mass Ion Calculations'!$D$6="Yes",IF('Mass Ion Calculations'!$D$7="Yes",'Mass Ion Calculations'!$D$18+'AA Exact Masses'!$Q$3-'Mass Ion Calculations'!$C$23-'Mass Ion Calculations'!$C38-'Mass Ion Calculations'!$D$5,'Mass Ion Calculations'!$F$18+'AA Exact Masses'!$Q$3-'Mass Ion Calculations'!$C$23-'Mass Ion Calculations'!$C38-'Mass Ion Calculations'!$D$5),IF('Mass Ion Calculations'!$D$7="Yes", 'Mass Ion Calculations'!$D$15+'AA Exact Masses'!$Q$3-'Mass Ion Calculations'!$C$23-'Mass Ion Calculations'!$C38-'Mass Ion Calculations'!$D$5,'Mass Ion Calculations'!$F$15+'AA Exact Masses'!$Q$3-'Mass Ion Calculations'!$C$23-'Mass Ion Calculations'!$C38-'Mass Ion Calculations'!$D$5)))</f>
        <v/>
      </c>
      <c r="V37" s="3" t="str">
        <f>IF(OR($B37="",V$3=""),"",IF('Mass Ion Calculations'!$D$6="Yes",IF('Mass Ion Calculations'!$D$7="Yes",'Mass Ion Calculations'!$D$18+'AA Exact Masses'!$Q$3-'Mass Ion Calculations'!$C$24-'Mass Ion Calculations'!$C38-'Mass Ion Calculations'!$D$5,'Mass Ion Calculations'!$F$18+'AA Exact Masses'!$Q$3-'Mass Ion Calculations'!$C$24-'Mass Ion Calculations'!$C38-'Mass Ion Calculations'!$D$5),IF('Mass Ion Calculations'!$D$7="Yes", 'Mass Ion Calculations'!$D$15+'AA Exact Masses'!$Q$3-'Mass Ion Calculations'!$C$24-'Mass Ion Calculations'!$C38-'Mass Ion Calculations'!$D$5,'Mass Ion Calculations'!$F$15+'AA Exact Masses'!$Q$3-'Mass Ion Calculations'!$C$24-'Mass Ion Calculations'!$C38-'Mass Ion Calculations'!$D$5)))</f>
        <v/>
      </c>
      <c r="W37" s="3" t="str">
        <f>IF(OR($B37="",W$3=""),"",IF('Mass Ion Calculations'!$D$6="Yes",IF('Mass Ion Calculations'!$D$7="Yes",'Mass Ion Calculations'!$D$18+'AA Exact Masses'!$Q$3-'Mass Ion Calculations'!$C$25-'Mass Ion Calculations'!$C38-'Mass Ion Calculations'!$D$5,'Mass Ion Calculations'!$F$18+'AA Exact Masses'!$Q$3-'Mass Ion Calculations'!$C$25-'Mass Ion Calculations'!$C38-'Mass Ion Calculations'!$D$5),IF('Mass Ion Calculations'!$D$7="Yes", 'Mass Ion Calculations'!$D$15+'AA Exact Masses'!$Q$3-'Mass Ion Calculations'!$C$25-'Mass Ion Calculations'!$C38-'Mass Ion Calculations'!$D$5,'Mass Ion Calculations'!$F$15+'AA Exact Masses'!$Q$3-'Mass Ion Calculations'!$C$25-'Mass Ion Calculations'!$C38-'Mass Ion Calculations'!$D$5)))</f>
        <v/>
      </c>
      <c r="X37" s="3" t="str">
        <f>IF(OR($B37="",X$3=""),"",IF('Mass Ion Calculations'!$D$6="Yes",IF('Mass Ion Calculations'!$D$7="Yes",'Mass Ion Calculations'!$D$18+'AA Exact Masses'!$Q$3-'Mass Ion Calculations'!$C$26-'Mass Ion Calculations'!$C38-'Mass Ion Calculations'!$D$5,'Mass Ion Calculations'!$F$18+'AA Exact Masses'!$Q$3-'Mass Ion Calculations'!$C$26-'Mass Ion Calculations'!$C38-'Mass Ion Calculations'!$D$5),IF('Mass Ion Calculations'!$D$7="Yes", 'Mass Ion Calculations'!$D$15+'AA Exact Masses'!$Q$3-'Mass Ion Calculations'!$C$26-'Mass Ion Calculations'!$C38-'Mass Ion Calculations'!$D$5,'Mass Ion Calculations'!$F$15+'AA Exact Masses'!$Q$3-'Mass Ion Calculations'!$C$26-'Mass Ion Calculations'!$C38-'Mass Ion Calculations'!$D$5)))</f>
        <v/>
      </c>
      <c r="Y37" s="3" t="str">
        <f>IF(OR($B37="",Y$3=""),"",IF('Mass Ion Calculations'!$D$6="Yes",('Mass Ion Calculations'!$D$15+'AA Exact Masses'!$Q$3-'Mass Ion Calculations'!$C$7-'Mass Ion Calculations'!$C38-'Mass Ion Calculations'!$D$5-18.01),('Mass Ion Calculations'!$D$15+'AA Exact Masses'!$Q$3-'Mass Ion Calculations'!$C$7-'Mass Ion Calculations'!$C38-'Mass Ion Calculations'!$D$5)))</f>
        <v/>
      </c>
      <c r="Z37" s="3" t="str">
        <f>IF(OR($B37="",Z$3=""),"",IF('Mass Ion Calculations'!$D$6="Yes",('Mass Ion Calculations'!$D$15+'AA Exact Masses'!$Q$3-'Mass Ion Calculations'!$C$7-'Mass Ion Calculations'!$C38-'Mass Ion Calculations'!$D$5-18.01),('Mass Ion Calculations'!$D$15+'AA Exact Masses'!$Q$3-'Mass Ion Calculations'!$C$7-'Mass Ion Calculations'!$C38-'Mass Ion Calculations'!$D$5)))</f>
        <v/>
      </c>
    </row>
    <row r="38" spans="3:26" x14ac:dyDescent="0.25">
      <c r="C38" s="3" t="str">
        <f>IF(OR($B38="",C$3=""),"",IF('Mass Ion Calculations'!$D$6="Yes",IF('Mass Ion Calculations'!$D$7="Yes",'Mass Ion Calculations'!$D$18+'AA Exact Masses'!$Q$3-'Mass Ion Calculations'!$C$5-'Mass Ion Calculations'!$C39-'Mass Ion Calculations'!$D$5,'Mass Ion Calculations'!$F$18+'AA Exact Masses'!$Q$3-'Mass Ion Calculations'!$E$5-'Mass Ion Calculations'!$E39-'Mass Ion Calculations'!$D$5),IF('Mass Ion Calculations'!$D$7="Yes", 'Mass Ion Calculations'!$D$15+'AA Exact Masses'!$Q$3-'Mass Ion Calculations'!$C$5-'Mass Ion Calculations'!$C39-'Mass Ion Calculations'!$D$5,'Mass Ion Calculations'!$F$15+'AA Exact Masses'!$Q$3-'Mass Ion Calculations'!$E$5-'Mass Ion Calculations'!$E39-'Mass Ion Calculations'!$D$5)))</f>
        <v/>
      </c>
      <c r="D38" s="3" t="str">
        <f>IF(OR($B38="",D$3=""),"",IF('Mass Ion Calculations'!$D$6="Yes",IF('Mass Ion Calculations'!$D$7="Yes",'Mass Ion Calculations'!$D$18+'AA Exact Masses'!$Q$3-'Mass Ion Calculations'!$C$6-'Mass Ion Calculations'!$C39-'Mass Ion Calculations'!$D$5,'Mass Ion Calculations'!$F$18+'AA Exact Masses'!$Q$3-'Mass Ion Calculations'!$E$6-'Mass Ion Calculations'!$E39-'Mass Ion Calculations'!$D$5),IF('Mass Ion Calculations'!$D$7="Yes", 'Mass Ion Calculations'!$D$15+'AA Exact Masses'!$Q$3-'Mass Ion Calculations'!$C$6-'Mass Ion Calculations'!$C39-'Mass Ion Calculations'!$D$5,'Mass Ion Calculations'!$F$15+'AA Exact Masses'!$Q$3-'Mass Ion Calculations'!$E$6-'Mass Ion Calculations'!$E39-'Mass Ion Calculations'!$D$5)))</f>
        <v/>
      </c>
      <c r="E38" s="3" t="str">
        <f>IF(OR($B38="",E$3=""),"",IF('Mass Ion Calculations'!$D$6="Yes",IF('Mass Ion Calculations'!$D$7="Yes",'Mass Ion Calculations'!$D$18+'AA Exact Masses'!$Q$3-'Mass Ion Calculations'!$C$7-'Mass Ion Calculations'!$C39-'Mass Ion Calculations'!$D$5,'Mass Ion Calculations'!$F$18+'AA Exact Masses'!$Q$3-'Mass Ion Calculations'!$E$7-'Mass Ion Calculations'!$E39-'Mass Ion Calculations'!$D$5),IF('Mass Ion Calculations'!$D$7="Yes", 'Mass Ion Calculations'!$D$15+'AA Exact Masses'!$Q$3-'Mass Ion Calculations'!$C$7-'Mass Ion Calculations'!$C39-'Mass Ion Calculations'!$D$5,'Mass Ion Calculations'!$F$15+'AA Exact Masses'!$Q$3-'Mass Ion Calculations'!$E$7-'Mass Ion Calculations'!$E39-'Mass Ion Calculations'!$D$5)))</f>
        <v/>
      </c>
      <c r="F38" s="3" t="str">
        <f>IF(OR($B38="",F$3=""),"",IF('Mass Ion Calculations'!$D$6="Yes",IF('Mass Ion Calculations'!$D$7="Yes",'Mass Ion Calculations'!$D$18+'AA Exact Masses'!$Q$3-'Mass Ion Calculations'!$C$8-'Mass Ion Calculations'!$C39-'Mass Ion Calculations'!$D$5,'Mass Ion Calculations'!$F$18+'AA Exact Masses'!$Q$3-'Mass Ion Calculations'!$E$8-'Mass Ion Calculations'!$E39-'Mass Ion Calculations'!$D$5),IF('Mass Ion Calculations'!$D$7="Yes", 'Mass Ion Calculations'!$D$15+'AA Exact Masses'!$Q$3-'Mass Ion Calculations'!$C$8-'Mass Ion Calculations'!$C39-'Mass Ion Calculations'!$D$5,'Mass Ion Calculations'!$F$15+'AA Exact Masses'!$Q$3-'Mass Ion Calculations'!$E$8-'Mass Ion Calculations'!$E39-'Mass Ion Calculations'!$D$5)))</f>
        <v/>
      </c>
      <c r="G38" s="3" t="str">
        <f>IF(OR($B38="",G$3=""),"",IF('Mass Ion Calculations'!$D$6="Yes",IF('Mass Ion Calculations'!$D$7="Yes",'Mass Ion Calculations'!$D$18+'AA Exact Masses'!$Q$3-'Mass Ion Calculations'!$C$9-'Mass Ion Calculations'!$C39-'Mass Ion Calculations'!$D$5,'Mass Ion Calculations'!$F$18+'AA Exact Masses'!$Q$3-'Mass Ion Calculations'!$E$9-'Mass Ion Calculations'!$E39-'Mass Ion Calculations'!$D$5),IF('Mass Ion Calculations'!$D$7="Yes", 'Mass Ion Calculations'!$D$15+'AA Exact Masses'!$Q$3-'Mass Ion Calculations'!$C$9-'Mass Ion Calculations'!$C39-'Mass Ion Calculations'!$D$5,'Mass Ion Calculations'!$F$15+'AA Exact Masses'!$Q$3-'Mass Ion Calculations'!$E$9-'Mass Ion Calculations'!$E39-'Mass Ion Calculations'!$D$5)))</f>
        <v/>
      </c>
      <c r="H38" s="3" t="str">
        <f>IF(OR($B38="",H$3=""),"",IF('Mass Ion Calculations'!$D$6="Yes",IF('Mass Ion Calculations'!$D$7="Yes",'Mass Ion Calculations'!$D$18+'AA Exact Masses'!$Q$3-'Mass Ion Calculations'!$C$10-'Mass Ion Calculations'!$C39-'Mass Ion Calculations'!$D$5,'Mass Ion Calculations'!$F$18+'AA Exact Masses'!$Q$3-'Mass Ion Calculations'!$E$10-'Mass Ion Calculations'!$E39-'Mass Ion Calculations'!$D$5),IF('Mass Ion Calculations'!$D$7="Yes", 'Mass Ion Calculations'!$D$15+'AA Exact Masses'!$Q$3-'Mass Ion Calculations'!$C$10-'Mass Ion Calculations'!$C39-'Mass Ion Calculations'!$D$5,'Mass Ion Calculations'!$F$15+'AA Exact Masses'!$Q$3-'Mass Ion Calculations'!$E$10-'Mass Ion Calculations'!$E39-'Mass Ion Calculations'!$D$5)))</f>
        <v/>
      </c>
      <c r="I38" s="3" t="str">
        <f>IF(OR($B38="",I$3=""),"",IF('Mass Ion Calculations'!$D$6="Yes",IF('Mass Ion Calculations'!$D$7="Yes",'Mass Ion Calculations'!$D$18+'AA Exact Masses'!$Q$3-'Mass Ion Calculations'!$C$11-'Mass Ion Calculations'!$C39-'Mass Ion Calculations'!$D$5,'Mass Ion Calculations'!$F$18+'AA Exact Masses'!$Q$3-'Mass Ion Calculations'!$E$11-'Mass Ion Calculations'!$E39-'Mass Ion Calculations'!$D$5),IF('Mass Ion Calculations'!$D$7="Yes", 'Mass Ion Calculations'!$D$15+'AA Exact Masses'!$Q$3-'Mass Ion Calculations'!$C$11-'Mass Ion Calculations'!$C39-'Mass Ion Calculations'!$D$5,'Mass Ion Calculations'!$F$15+'AA Exact Masses'!$Q$3-'Mass Ion Calculations'!$E$11-'Mass Ion Calculations'!$E39-'Mass Ion Calculations'!$D$5)))</f>
        <v/>
      </c>
      <c r="J38" s="3" t="str">
        <f>IF(OR($B38="",J$3=""),"",IF('Mass Ion Calculations'!$D$6="Yes",IF('Mass Ion Calculations'!$D$7="Yes",'Mass Ion Calculations'!$D$18+'AA Exact Masses'!$Q$3-'Mass Ion Calculations'!$C$12-'Mass Ion Calculations'!$C39-'Mass Ion Calculations'!$D$5,'Mass Ion Calculations'!$F$18+'AA Exact Masses'!$Q$3-'Mass Ion Calculations'!$E$12-'Mass Ion Calculations'!$E39-'Mass Ion Calculations'!$D$5),IF('Mass Ion Calculations'!$D$7="Yes", 'Mass Ion Calculations'!$D$15+'AA Exact Masses'!$Q$3-'Mass Ion Calculations'!$C$12-'Mass Ion Calculations'!$C39-'Mass Ion Calculations'!$D$5,'Mass Ion Calculations'!$F$15+'AA Exact Masses'!$Q$3-'Mass Ion Calculations'!$E$12-'Mass Ion Calculations'!$E39-'Mass Ion Calculations'!$D$5)))</f>
        <v/>
      </c>
      <c r="K38" s="3" t="str">
        <f>IF(OR($B38="",K$3=""),"",IF('Mass Ion Calculations'!$D$6="Yes",IF('Mass Ion Calculations'!$D$7="Yes",'Mass Ion Calculations'!$D$18+'AA Exact Masses'!$Q$3-'Mass Ion Calculations'!$C$13-'Mass Ion Calculations'!$C39-'Mass Ion Calculations'!$D$5,'Mass Ion Calculations'!$F$18+'AA Exact Masses'!$Q$3-'Mass Ion Calculations'!$E$14-'Mass Ion Calculations'!$E39-'Mass Ion Calculations'!$D$5),IF('Mass Ion Calculations'!$D$7="Yes", 'Mass Ion Calculations'!$D$15+'AA Exact Masses'!$Q$3-'Mass Ion Calculations'!$C$13-'Mass Ion Calculations'!$C39-'Mass Ion Calculations'!$D$5,'Mass Ion Calculations'!$F$15+'AA Exact Masses'!$Q$3-'Mass Ion Calculations'!$E$14-'Mass Ion Calculations'!$E39-'Mass Ion Calculations'!$D$5)))</f>
        <v/>
      </c>
      <c r="L38" s="3" t="str">
        <f>IF(OR($B38="",L$3=""),"",IF('Mass Ion Calculations'!$D$6="Yes",IF('Mass Ion Calculations'!$D$7="Yes",'Mass Ion Calculations'!$D$18+'AA Exact Masses'!$Q$3-'Mass Ion Calculations'!$C$14-'Mass Ion Calculations'!$C39-'Mass Ion Calculations'!$D$5,'Mass Ion Calculations'!$F$18+'AA Exact Masses'!$Q$3-'Mass Ion Calculations'!$E$15-'Mass Ion Calculations'!$E39-'Mass Ion Calculations'!$D$5),IF('Mass Ion Calculations'!$D$7="Yes", 'Mass Ion Calculations'!$D$15+'AA Exact Masses'!$Q$3-'Mass Ion Calculations'!$C$14-'Mass Ion Calculations'!$C39-'Mass Ion Calculations'!$D$5,'Mass Ion Calculations'!$F$15+'AA Exact Masses'!$Q$3-'Mass Ion Calculations'!$E$15-'Mass Ion Calculations'!$E39-'Mass Ion Calculations'!$D$5)))</f>
        <v/>
      </c>
      <c r="M38" s="3" t="str">
        <f>IF(OR($B38="",M$3=""),"",IF('Mass Ion Calculations'!$D$6="Yes",IF('Mass Ion Calculations'!$D$7="Yes",'Mass Ion Calculations'!$D$18+'AA Exact Masses'!$Q$3-'Mass Ion Calculations'!$C$15-'Mass Ion Calculations'!$C39-'Mass Ion Calculations'!$D$5,'Mass Ion Calculations'!$F$18+'AA Exact Masses'!$Q$3-'Mass Ion Calculations'!$E$16-'Mass Ion Calculations'!$E39-'Mass Ion Calculations'!$D$5),IF('Mass Ion Calculations'!$D$7="Yes", 'Mass Ion Calculations'!$D$15+'AA Exact Masses'!$Q$3-'Mass Ion Calculations'!$C$15-'Mass Ion Calculations'!$C39-'Mass Ion Calculations'!$D$5,'Mass Ion Calculations'!$F$15+'AA Exact Masses'!$Q$3-'Mass Ion Calculations'!$E$16-'Mass Ion Calculations'!$E39-'Mass Ion Calculations'!$D$5)))</f>
        <v/>
      </c>
      <c r="N38" s="3" t="str">
        <f>IF(OR($B38="",N$3=""),"",IF('Mass Ion Calculations'!$D$6="Yes",IF('Mass Ion Calculations'!$D$7="Yes",'Mass Ion Calculations'!$D$18+'AA Exact Masses'!$Q$3-'Mass Ion Calculations'!$C$16-'Mass Ion Calculations'!$C39-'Mass Ion Calculations'!$D$5,'Mass Ion Calculations'!$F$18+'AA Exact Masses'!$Q$3-'Mass Ion Calculations'!$E$17-'Mass Ion Calculations'!$E39-'Mass Ion Calculations'!$D$5),IF('Mass Ion Calculations'!$D$7="Yes", 'Mass Ion Calculations'!$D$15+'AA Exact Masses'!$Q$3-'Mass Ion Calculations'!$C$16-'Mass Ion Calculations'!$C39-'Mass Ion Calculations'!$D$5,'Mass Ion Calculations'!$F$15+'AA Exact Masses'!$Q$3-'Mass Ion Calculations'!$E$17-'Mass Ion Calculations'!$E39-'Mass Ion Calculations'!$D$5)))</f>
        <v/>
      </c>
      <c r="O38" s="3" t="str">
        <f>IF(OR($B38="",O$3=""),"",IF('Mass Ion Calculations'!$D$6="Yes",IF('Mass Ion Calculations'!$D$7="Yes",'Mass Ion Calculations'!$D$18+'AA Exact Masses'!$Q$3-'Mass Ion Calculations'!$C$17-'Mass Ion Calculations'!$C39-'Mass Ion Calculations'!$D$5,'Mass Ion Calculations'!$F$18+'AA Exact Masses'!$Q$3-'Mass Ion Calculations'!$E$18-'Mass Ion Calculations'!$E39-'Mass Ion Calculations'!$D$5),IF('Mass Ion Calculations'!$D$7="Yes", 'Mass Ion Calculations'!$D$15+'AA Exact Masses'!$Q$3-'Mass Ion Calculations'!$C$17-'Mass Ion Calculations'!$C39-'Mass Ion Calculations'!$D$5,'Mass Ion Calculations'!$F$15+'AA Exact Masses'!$Q$3-'Mass Ion Calculations'!$E$18-'Mass Ion Calculations'!$E39-'Mass Ion Calculations'!$D$5)))</f>
        <v/>
      </c>
      <c r="P38" s="3" t="str">
        <f>IF(OR($B38="",P$3=""),"",IF('Mass Ion Calculations'!$D$6="Yes",IF('Mass Ion Calculations'!$D$7="Yes",'Mass Ion Calculations'!$D$18+'AA Exact Masses'!$Q$3-'Mass Ion Calculations'!$C$18-'Mass Ion Calculations'!$C39-'Mass Ion Calculations'!$D$5,'Mass Ion Calculations'!$F$18+'AA Exact Masses'!$Q$3-'Mass Ion Calculations'!$C$18-'Mass Ion Calculations'!$C39-'Mass Ion Calculations'!$D$5),IF('Mass Ion Calculations'!$D$7="Yes", 'Mass Ion Calculations'!$D$15+'AA Exact Masses'!$Q$3-'Mass Ion Calculations'!$C$18-'Mass Ion Calculations'!$C39-'Mass Ion Calculations'!$D$5,'Mass Ion Calculations'!$F$15+'AA Exact Masses'!$Q$3-'Mass Ion Calculations'!$C$18-'Mass Ion Calculations'!$C39-'Mass Ion Calculations'!$D$5)))</f>
        <v/>
      </c>
      <c r="Q38" s="3" t="str">
        <f>IF(OR($B38="",Q$3=""),"",IF('Mass Ion Calculations'!$D$6="Yes",IF('Mass Ion Calculations'!$D$7="Yes",'Mass Ion Calculations'!$D$18+'AA Exact Masses'!$Q$3-'Mass Ion Calculations'!$C$19-'Mass Ion Calculations'!$C39-'Mass Ion Calculations'!$D$5,'Mass Ion Calculations'!$F$18+'AA Exact Masses'!$Q$3-'Mass Ion Calculations'!$C$19-'Mass Ion Calculations'!$C39-'Mass Ion Calculations'!$D$5),IF('Mass Ion Calculations'!$D$7="Yes", 'Mass Ion Calculations'!$D$15+'AA Exact Masses'!$Q$3-'Mass Ion Calculations'!$C$19-'Mass Ion Calculations'!$C39-'Mass Ion Calculations'!$D$5,'Mass Ion Calculations'!$F$15+'AA Exact Masses'!$Q$3-'Mass Ion Calculations'!$C$19-'Mass Ion Calculations'!$C39-'Mass Ion Calculations'!$D$5)))</f>
        <v/>
      </c>
      <c r="R38" s="3" t="str">
        <f>IF(OR($B38="",R$3=""),"",IF('Mass Ion Calculations'!$D$6="Yes",IF('Mass Ion Calculations'!$D$7="Yes",'Mass Ion Calculations'!$D$18+'AA Exact Masses'!$Q$3-'Mass Ion Calculations'!$C$20-'Mass Ion Calculations'!$C39-'Mass Ion Calculations'!$D$5,'Mass Ion Calculations'!$F$18+'AA Exact Masses'!$Q$3-'Mass Ion Calculations'!$C$20-'Mass Ion Calculations'!$C39-'Mass Ion Calculations'!$D$5),IF('Mass Ion Calculations'!$D$7="Yes", 'Mass Ion Calculations'!$D$15+'AA Exact Masses'!$Q$3-'Mass Ion Calculations'!$C$20-'Mass Ion Calculations'!$C39-'Mass Ion Calculations'!$D$5,'Mass Ion Calculations'!$F$15+'AA Exact Masses'!$Q$3-'Mass Ion Calculations'!$C$20-'Mass Ion Calculations'!$C39-'Mass Ion Calculations'!$D$5)))</f>
        <v/>
      </c>
      <c r="S38" s="3" t="str">
        <f>IF(OR($B38="",S$3=""),"",IF('Mass Ion Calculations'!$D$6="Yes",IF('Mass Ion Calculations'!$D$7="Yes",'Mass Ion Calculations'!$D$18+'AA Exact Masses'!$Q$3-'Mass Ion Calculations'!$C$21-'Mass Ion Calculations'!$C39-'Mass Ion Calculations'!$D$5,'Mass Ion Calculations'!$F$18+'AA Exact Masses'!$Q$3-'Mass Ion Calculations'!$C$21-'Mass Ion Calculations'!$C39-'Mass Ion Calculations'!$D$5),IF('Mass Ion Calculations'!$D$7="Yes", 'Mass Ion Calculations'!$D$15+'AA Exact Masses'!$Q$3-'Mass Ion Calculations'!$C$21-'Mass Ion Calculations'!$C39-'Mass Ion Calculations'!$D$5,'Mass Ion Calculations'!$F$15+'AA Exact Masses'!$Q$3-'Mass Ion Calculations'!$C$21-'Mass Ion Calculations'!$C39-'Mass Ion Calculations'!$D$5)))</f>
        <v/>
      </c>
      <c r="T38" s="3" t="str">
        <f>IF(OR($B38="",T$3=""),"",IF('Mass Ion Calculations'!$D$6="Yes",IF('Mass Ion Calculations'!$D$7="Yes",'Mass Ion Calculations'!$D$18+'AA Exact Masses'!$Q$3-'Mass Ion Calculations'!$C$22-'Mass Ion Calculations'!$C39-'Mass Ion Calculations'!$D$5,'Mass Ion Calculations'!$F$18+'AA Exact Masses'!$Q$3-'Mass Ion Calculations'!$C$22-'Mass Ion Calculations'!$C39-'Mass Ion Calculations'!$D$5),IF('Mass Ion Calculations'!$D$7="Yes", 'Mass Ion Calculations'!$D$15+'AA Exact Masses'!$Q$3-'Mass Ion Calculations'!$C$22-'Mass Ion Calculations'!$C39-'Mass Ion Calculations'!$D$5,'Mass Ion Calculations'!$F$15+'AA Exact Masses'!$Q$3-'Mass Ion Calculations'!$C$22-'Mass Ion Calculations'!$C39-'Mass Ion Calculations'!$D$5)))</f>
        <v/>
      </c>
      <c r="U38" s="3" t="str">
        <f>IF(OR($B38="",U$3=""),"",IF('Mass Ion Calculations'!$D$6="Yes",IF('Mass Ion Calculations'!$D$7="Yes",'Mass Ion Calculations'!$D$18+'AA Exact Masses'!$Q$3-'Mass Ion Calculations'!$C$23-'Mass Ion Calculations'!$C39-'Mass Ion Calculations'!$D$5,'Mass Ion Calculations'!$F$18+'AA Exact Masses'!$Q$3-'Mass Ion Calculations'!$C$23-'Mass Ion Calculations'!$C39-'Mass Ion Calculations'!$D$5),IF('Mass Ion Calculations'!$D$7="Yes", 'Mass Ion Calculations'!$D$15+'AA Exact Masses'!$Q$3-'Mass Ion Calculations'!$C$23-'Mass Ion Calculations'!$C39-'Mass Ion Calculations'!$D$5,'Mass Ion Calculations'!$F$15+'AA Exact Masses'!$Q$3-'Mass Ion Calculations'!$C$23-'Mass Ion Calculations'!$C39-'Mass Ion Calculations'!$D$5)))</f>
        <v/>
      </c>
      <c r="V38" s="3" t="str">
        <f>IF(OR($B38="",V$3=""),"",IF('Mass Ion Calculations'!$D$6="Yes",IF('Mass Ion Calculations'!$D$7="Yes",'Mass Ion Calculations'!$D$18+'AA Exact Masses'!$Q$3-'Mass Ion Calculations'!$C$24-'Mass Ion Calculations'!$C39-'Mass Ion Calculations'!$D$5,'Mass Ion Calculations'!$F$18+'AA Exact Masses'!$Q$3-'Mass Ion Calculations'!$C$24-'Mass Ion Calculations'!$C39-'Mass Ion Calculations'!$D$5),IF('Mass Ion Calculations'!$D$7="Yes", 'Mass Ion Calculations'!$D$15+'AA Exact Masses'!$Q$3-'Mass Ion Calculations'!$C$24-'Mass Ion Calculations'!$C39-'Mass Ion Calculations'!$D$5,'Mass Ion Calculations'!$F$15+'AA Exact Masses'!$Q$3-'Mass Ion Calculations'!$C$24-'Mass Ion Calculations'!$C39-'Mass Ion Calculations'!$D$5)))</f>
        <v/>
      </c>
      <c r="W38" s="3" t="str">
        <f>IF(OR($B38="",W$3=""),"",IF('Mass Ion Calculations'!$D$6="Yes",IF('Mass Ion Calculations'!$D$7="Yes",'Mass Ion Calculations'!$D$18+'AA Exact Masses'!$Q$3-'Mass Ion Calculations'!$C$25-'Mass Ion Calculations'!$C39-'Mass Ion Calculations'!$D$5,'Mass Ion Calculations'!$F$18+'AA Exact Masses'!$Q$3-'Mass Ion Calculations'!$C$25-'Mass Ion Calculations'!$C39-'Mass Ion Calculations'!$D$5),IF('Mass Ion Calculations'!$D$7="Yes", 'Mass Ion Calculations'!$D$15+'AA Exact Masses'!$Q$3-'Mass Ion Calculations'!$C$25-'Mass Ion Calculations'!$C39-'Mass Ion Calculations'!$D$5,'Mass Ion Calculations'!$F$15+'AA Exact Masses'!$Q$3-'Mass Ion Calculations'!$C$25-'Mass Ion Calculations'!$C39-'Mass Ion Calculations'!$D$5)))</f>
        <v/>
      </c>
      <c r="X38" s="3" t="str">
        <f>IF(OR($B38="",X$3=""),"",IF('Mass Ion Calculations'!$D$6="Yes",IF('Mass Ion Calculations'!$D$7="Yes",'Mass Ion Calculations'!$D$18+'AA Exact Masses'!$Q$3-'Mass Ion Calculations'!$C$26-'Mass Ion Calculations'!$C39-'Mass Ion Calculations'!$D$5,'Mass Ion Calculations'!$F$18+'AA Exact Masses'!$Q$3-'Mass Ion Calculations'!$C$26-'Mass Ion Calculations'!$C39-'Mass Ion Calculations'!$D$5),IF('Mass Ion Calculations'!$D$7="Yes", 'Mass Ion Calculations'!$D$15+'AA Exact Masses'!$Q$3-'Mass Ion Calculations'!$C$26-'Mass Ion Calculations'!$C39-'Mass Ion Calculations'!$D$5,'Mass Ion Calculations'!$F$15+'AA Exact Masses'!$Q$3-'Mass Ion Calculations'!$C$26-'Mass Ion Calculations'!$C39-'Mass Ion Calculations'!$D$5)))</f>
        <v/>
      </c>
      <c r="Y38" s="3" t="str">
        <f>IF(OR($B38="",Y$3=""),"",IF('Mass Ion Calculations'!$D$6="Yes",('Mass Ion Calculations'!$D$15+'AA Exact Masses'!$Q$3-'Mass Ion Calculations'!$C$7-'Mass Ion Calculations'!$C39-'Mass Ion Calculations'!$D$5-18.01),('Mass Ion Calculations'!$D$15+'AA Exact Masses'!$Q$3-'Mass Ion Calculations'!$C$7-'Mass Ion Calculations'!$C39-'Mass Ion Calculations'!$D$5)))</f>
        <v/>
      </c>
      <c r="Z38" s="3" t="str">
        <f>IF(OR($B38="",Z$3=""),"",IF('Mass Ion Calculations'!$D$6="Yes",('Mass Ion Calculations'!$D$15+'AA Exact Masses'!$Q$3-'Mass Ion Calculations'!$C$7-'Mass Ion Calculations'!$C39-'Mass Ion Calculations'!$D$5-18.01),('Mass Ion Calculations'!$D$15+'AA Exact Masses'!$Q$3-'Mass Ion Calculations'!$C$7-'Mass Ion Calculations'!$C39-'Mass Ion Calculations'!$D$5)))</f>
        <v/>
      </c>
    </row>
    <row r="39" spans="3:26" x14ac:dyDescent="0.25">
      <c r="C39" s="3" t="str">
        <f>IF(OR($B39="",C$3=""),"",IF('Mass Ion Calculations'!$D$6="Yes",IF('Mass Ion Calculations'!$D$7="Yes",'Mass Ion Calculations'!$D$18+'AA Exact Masses'!$Q$3-'Mass Ion Calculations'!$C$5-'Mass Ion Calculations'!$C40-'Mass Ion Calculations'!$D$5,'Mass Ion Calculations'!$F$18+'AA Exact Masses'!$Q$3-'Mass Ion Calculations'!$C$5-'Mass Ion Calculations'!$C40-'Mass Ion Calculations'!$D$5),IF('Mass Ion Calculations'!$D$7="Yes", 'Mass Ion Calculations'!$D$15+'AA Exact Masses'!$Q$3-'Mass Ion Calculations'!$C$5-'Mass Ion Calculations'!$C40-'Mass Ion Calculations'!$D$5,'Mass Ion Calculations'!$F$15+'AA Exact Masses'!$Q$3-'Mass Ion Calculations'!$C$5-'Mass Ion Calculations'!$C40-'Mass Ion Calculations'!$D$5)))</f>
        <v/>
      </c>
      <c r="D39" s="3" t="str">
        <f>IF(OR($B39="",D$3=""),"",IF('Mass Ion Calculations'!$D$6="Yes",IF('Mass Ion Calculations'!$D$7="Yes",'Mass Ion Calculations'!$D$18+'AA Exact Masses'!$Q$3-'Mass Ion Calculations'!$C$6-'Mass Ion Calculations'!$C40-'Mass Ion Calculations'!$D$5,'Mass Ion Calculations'!$F$18+'AA Exact Masses'!$Q$3-'Mass Ion Calculations'!$C$6-'Mass Ion Calculations'!$C40-'Mass Ion Calculations'!$D$5),IF('Mass Ion Calculations'!$D$7="Yes", 'Mass Ion Calculations'!$D$15+'AA Exact Masses'!$Q$3-'Mass Ion Calculations'!$C$6-'Mass Ion Calculations'!$C40-'Mass Ion Calculations'!$D$5,'Mass Ion Calculations'!$F$15+'AA Exact Masses'!$Q$3-'Mass Ion Calculations'!$C$6-'Mass Ion Calculations'!$C40-'Mass Ion Calculations'!$D$5)))</f>
        <v/>
      </c>
      <c r="E39" s="3" t="str">
        <f>IF(OR($B39="",E$3=""),"",IF('Mass Ion Calculations'!$D$6="Yes",IF('Mass Ion Calculations'!$D$7="Yes",'Mass Ion Calculations'!$D$18+'AA Exact Masses'!$Q$3-'Mass Ion Calculations'!$C$7-'Mass Ion Calculations'!$C40-'Mass Ion Calculations'!$D$5,'Mass Ion Calculations'!$F$18+'AA Exact Masses'!$Q$3-'Mass Ion Calculations'!$C$7-'Mass Ion Calculations'!$C40-'Mass Ion Calculations'!$D$5),IF('Mass Ion Calculations'!$D$7="Yes", 'Mass Ion Calculations'!$D$15+'AA Exact Masses'!$Q$3-'Mass Ion Calculations'!$C$7-'Mass Ion Calculations'!$C40-'Mass Ion Calculations'!$D$5,'Mass Ion Calculations'!$F$15+'AA Exact Masses'!$Q$3-'Mass Ion Calculations'!$C$7-'Mass Ion Calculations'!$C40-'Mass Ion Calculations'!$D$5)))</f>
        <v/>
      </c>
      <c r="F39" s="3" t="str">
        <f>IF(OR($B39="",F$3=""),"",IF('Mass Ion Calculations'!$D$6="Yes",IF('Mass Ion Calculations'!$D$7="Yes",'Mass Ion Calculations'!$D$18+'AA Exact Masses'!$Q$3-'Mass Ion Calculations'!$C$8-'Mass Ion Calculations'!$C40-'Mass Ion Calculations'!$D$5,'Mass Ion Calculations'!$F$18+'AA Exact Masses'!$Q$3-'Mass Ion Calculations'!$C$8-'Mass Ion Calculations'!$C40-'Mass Ion Calculations'!$D$5),IF('Mass Ion Calculations'!$D$7="Yes", 'Mass Ion Calculations'!$D$15+'AA Exact Masses'!$Q$3-'Mass Ion Calculations'!$C$8-'Mass Ion Calculations'!$C40-'Mass Ion Calculations'!$D$5,'Mass Ion Calculations'!$F$15+'AA Exact Masses'!$Q$3-'Mass Ion Calculations'!$C$8-'Mass Ion Calculations'!$C40-'Mass Ion Calculations'!$D$5)))</f>
        <v/>
      </c>
      <c r="G39" s="3" t="str">
        <f>IF(OR($B39="",G$3=""),"",IF('Mass Ion Calculations'!$D$6="Yes",IF('Mass Ion Calculations'!$D$7="Yes",'Mass Ion Calculations'!$D$18+'AA Exact Masses'!$Q$3-'Mass Ion Calculations'!$C$9-'Mass Ion Calculations'!$C40-'Mass Ion Calculations'!$D$5,'Mass Ion Calculations'!$F$18+'AA Exact Masses'!$Q$3-'Mass Ion Calculations'!$C$9-'Mass Ion Calculations'!$C40-'Mass Ion Calculations'!$D$5),IF('Mass Ion Calculations'!$D$7="Yes", 'Mass Ion Calculations'!$D$15+'AA Exact Masses'!$Q$3-'Mass Ion Calculations'!$C$9-'Mass Ion Calculations'!$C40-'Mass Ion Calculations'!$D$5,'Mass Ion Calculations'!$F$15+'AA Exact Masses'!$Q$3-'Mass Ion Calculations'!$C$9-'Mass Ion Calculations'!$C40-'Mass Ion Calculations'!$D$5)))</f>
        <v/>
      </c>
      <c r="H39" s="3" t="str">
        <f>IF(OR($B39="",H$3=""),"",IF('Mass Ion Calculations'!$D$6="Yes",IF('Mass Ion Calculations'!$D$7="Yes",'Mass Ion Calculations'!$D$18+'AA Exact Masses'!$Q$3-'Mass Ion Calculations'!$C$10-'Mass Ion Calculations'!$C40-'Mass Ion Calculations'!$D$5,'Mass Ion Calculations'!$F$18+'AA Exact Masses'!$Q$3-'Mass Ion Calculations'!$C$10-'Mass Ion Calculations'!$C40-'Mass Ion Calculations'!$D$5),IF('Mass Ion Calculations'!$D$7="Yes", 'Mass Ion Calculations'!$D$15+'AA Exact Masses'!$Q$3-'Mass Ion Calculations'!$C$10-'Mass Ion Calculations'!$C40-'Mass Ion Calculations'!$D$5,'Mass Ion Calculations'!$F$15+'AA Exact Masses'!$Q$3-'Mass Ion Calculations'!$C$10-'Mass Ion Calculations'!$C40-'Mass Ion Calculations'!$D$5)))</f>
        <v/>
      </c>
      <c r="I39" s="3" t="str">
        <f>IF(OR($B39="",I$3=""),"",IF('Mass Ion Calculations'!$D$6="Yes",IF('Mass Ion Calculations'!$D$7="Yes",'Mass Ion Calculations'!$D$18+'AA Exact Masses'!$Q$3-'Mass Ion Calculations'!$C$11-'Mass Ion Calculations'!$C40-'Mass Ion Calculations'!$D$5,'Mass Ion Calculations'!$F$18+'AA Exact Masses'!$Q$3-'Mass Ion Calculations'!$C$11-'Mass Ion Calculations'!$C40-'Mass Ion Calculations'!$D$5),IF('Mass Ion Calculations'!$D$7="Yes", 'Mass Ion Calculations'!$D$15+'AA Exact Masses'!$Q$3-'Mass Ion Calculations'!$C$11-'Mass Ion Calculations'!$C40-'Mass Ion Calculations'!$D$5,'Mass Ion Calculations'!$F$15+'AA Exact Masses'!$Q$3-'Mass Ion Calculations'!$C$11-'Mass Ion Calculations'!$C40-'Mass Ion Calculations'!$D$5)))</f>
        <v/>
      </c>
      <c r="J39" s="3" t="str">
        <f>IF(OR($B39="",J$3=""),"",IF('Mass Ion Calculations'!$D$6="Yes",IF('Mass Ion Calculations'!$D$7="Yes",'Mass Ion Calculations'!$D$18+'AA Exact Masses'!$Q$3-'Mass Ion Calculations'!$C$12-'Mass Ion Calculations'!$C40-'Mass Ion Calculations'!$D$5,'Mass Ion Calculations'!$F$18+'AA Exact Masses'!$Q$3-'Mass Ion Calculations'!$C$12-'Mass Ion Calculations'!$C40-'Mass Ion Calculations'!$D$5),IF('Mass Ion Calculations'!$D$7="Yes", 'Mass Ion Calculations'!$D$15+'AA Exact Masses'!$Q$3-'Mass Ion Calculations'!$C$12-'Mass Ion Calculations'!$C40-'Mass Ion Calculations'!$D$5,'Mass Ion Calculations'!$F$15+'AA Exact Masses'!$Q$3-'Mass Ion Calculations'!$C$12-'Mass Ion Calculations'!$C40-'Mass Ion Calculations'!$D$5)))</f>
        <v/>
      </c>
      <c r="K39" s="3" t="str">
        <f>IF(OR($B39="",K$3=""),"",IF('Mass Ion Calculations'!$D$6="Yes",IF('Mass Ion Calculations'!$D$7="Yes",'Mass Ion Calculations'!$D$18+'AA Exact Masses'!$Q$3-'Mass Ion Calculations'!$C$13-'Mass Ion Calculations'!$C40-'Mass Ion Calculations'!$D$5,'Mass Ion Calculations'!$F$18+'AA Exact Masses'!$Q$3-'Mass Ion Calculations'!$C$13-'Mass Ion Calculations'!$C40-'Mass Ion Calculations'!$D$5),IF('Mass Ion Calculations'!$D$7="Yes", 'Mass Ion Calculations'!$D$15+'AA Exact Masses'!$Q$3-'Mass Ion Calculations'!$C$13-'Mass Ion Calculations'!$C40-'Mass Ion Calculations'!$D$5,'Mass Ion Calculations'!$F$15+'AA Exact Masses'!$Q$3-'Mass Ion Calculations'!$C$13-'Mass Ion Calculations'!$C40-'Mass Ion Calculations'!$D$5)))</f>
        <v/>
      </c>
      <c r="L39" s="3" t="str">
        <f>IF(OR($B39="",L$3=""),"",IF('Mass Ion Calculations'!$D$6="Yes",IF('Mass Ion Calculations'!$D$7="Yes",'Mass Ion Calculations'!$D$18+'AA Exact Masses'!$Q$3-'Mass Ion Calculations'!$C$14-'Mass Ion Calculations'!$C40-'Mass Ion Calculations'!$D$5,'Mass Ion Calculations'!$F$18+'AA Exact Masses'!$Q$3-'Mass Ion Calculations'!$C$14-'Mass Ion Calculations'!$C40-'Mass Ion Calculations'!$D$5),IF('Mass Ion Calculations'!$D$7="Yes", 'Mass Ion Calculations'!$D$15+'AA Exact Masses'!$Q$3-'Mass Ion Calculations'!$C$14-'Mass Ion Calculations'!$C40-'Mass Ion Calculations'!$D$5,'Mass Ion Calculations'!$F$15+'AA Exact Masses'!$Q$3-'Mass Ion Calculations'!$C$14-'Mass Ion Calculations'!$C40-'Mass Ion Calculations'!$D$5)))</f>
        <v/>
      </c>
      <c r="M39" s="3" t="str">
        <f>IF(OR($B39="",M$3=""),"",IF('Mass Ion Calculations'!$D$6="Yes",IF('Mass Ion Calculations'!$D$7="Yes",'Mass Ion Calculations'!$D$18+'AA Exact Masses'!$Q$3-'Mass Ion Calculations'!$C$15-'Mass Ion Calculations'!$C40-'Mass Ion Calculations'!$D$5,'Mass Ion Calculations'!$F$18+'AA Exact Masses'!$Q$3-'Mass Ion Calculations'!$C$15-'Mass Ion Calculations'!$C40-'Mass Ion Calculations'!$D$5),IF('Mass Ion Calculations'!$D$7="Yes", 'Mass Ion Calculations'!$D$15+'AA Exact Masses'!$Q$3-'Mass Ion Calculations'!$C$15-'Mass Ion Calculations'!$C40-'Mass Ion Calculations'!$D$5,'Mass Ion Calculations'!$F$15+'AA Exact Masses'!$Q$3-'Mass Ion Calculations'!$C$15-'Mass Ion Calculations'!$C40-'Mass Ion Calculations'!$D$5)))</f>
        <v/>
      </c>
      <c r="N39" s="3" t="str">
        <f>IF(OR($B39="",N$3=""),"",IF('Mass Ion Calculations'!$D$6="Yes",IF('Mass Ion Calculations'!$D$7="Yes",'Mass Ion Calculations'!$D$18+'AA Exact Masses'!$Q$3-'Mass Ion Calculations'!$C$16-'Mass Ion Calculations'!$C40-'Mass Ion Calculations'!$D$5,'Mass Ion Calculations'!$F$18+'AA Exact Masses'!$Q$3-'Mass Ion Calculations'!$C$16-'Mass Ion Calculations'!$C40-'Mass Ion Calculations'!$D$5),IF('Mass Ion Calculations'!$D$7="Yes", 'Mass Ion Calculations'!$D$15+'AA Exact Masses'!$Q$3-'Mass Ion Calculations'!$C$16-'Mass Ion Calculations'!$C40-'Mass Ion Calculations'!$D$5,'Mass Ion Calculations'!$F$15+'AA Exact Masses'!$Q$3-'Mass Ion Calculations'!$C$16-'Mass Ion Calculations'!$C40-'Mass Ion Calculations'!$D$5)))</f>
        <v/>
      </c>
      <c r="O39" s="3" t="str">
        <f>IF(OR($B39="",O$3=""),"",IF('Mass Ion Calculations'!$D$6="Yes",IF('Mass Ion Calculations'!$D$7="Yes",'Mass Ion Calculations'!$D$18+'AA Exact Masses'!$Q$3-'Mass Ion Calculations'!$C$17-'Mass Ion Calculations'!$C40-'Mass Ion Calculations'!$D$5,'Mass Ion Calculations'!$F$18+'AA Exact Masses'!$Q$3-'Mass Ion Calculations'!$C$17-'Mass Ion Calculations'!$C40-'Mass Ion Calculations'!$D$5),IF('Mass Ion Calculations'!$D$7="Yes", 'Mass Ion Calculations'!$D$15+'AA Exact Masses'!$Q$3-'Mass Ion Calculations'!$C$17-'Mass Ion Calculations'!$C40-'Mass Ion Calculations'!$D$5,'Mass Ion Calculations'!$F$15+'AA Exact Masses'!$Q$3-'Mass Ion Calculations'!$C$17-'Mass Ion Calculations'!$C40-'Mass Ion Calculations'!$D$5)))</f>
        <v/>
      </c>
      <c r="P39" s="3" t="str">
        <f>IF(OR($B39="",P$3=""),"",IF('Mass Ion Calculations'!$D$6="Yes",IF('Mass Ion Calculations'!$D$7="Yes",'Mass Ion Calculations'!$D$18+'AA Exact Masses'!$Q$3-'Mass Ion Calculations'!$C$18-'Mass Ion Calculations'!$C40-'Mass Ion Calculations'!$D$5,'Mass Ion Calculations'!$F$18+'AA Exact Masses'!$Q$3-'Mass Ion Calculations'!$C$18-'Mass Ion Calculations'!$C40-'Mass Ion Calculations'!$D$5),IF('Mass Ion Calculations'!$D$7="Yes", 'Mass Ion Calculations'!$D$15+'AA Exact Masses'!$Q$3-'Mass Ion Calculations'!$C$18-'Mass Ion Calculations'!$C40-'Mass Ion Calculations'!$D$5,'Mass Ion Calculations'!$F$15+'AA Exact Masses'!$Q$3-'Mass Ion Calculations'!$C$18-'Mass Ion Calculations'!$C40-'Mass Ion Calculations'!$D$5)))</f>
        <v/>
      </c>
      <c r="Q39" s="3" t="str">
        <f>IF(OR($B39="",Q$3=""),"",IF('Mass Ion Calculations'!$D$6="Yes",IF('Mass Ion Calculations'!$D$7="Yes",'Mass Ion Calculations'!$D$18+'AA Exact Masses'!$Q$3-'Mass Ion Calculations'!$C$19-'Mass Ion Calculations'!$C40-'Mass Ion Calculations'!$D$5,'Mass Ion Calculations'!$F$18+'AA Exact Masses'!$Q$3-'Mass Ion Calculations'!$C$19-'Mass Ion Calculations'!$C40-'Mass Ion Calculations'!$D$5),IF('Mass Ion Calculations'!$D$7="Yes", 'Mass Ion Calculations'!$D$15+'AA Exact Masses'!$Q$3-'Mass Ion Calculations'!$C$19-'Mass Ion Calculations'!$C40-'Mass Ion Calculations'!$D$5,'Mass Ion Calculations'!$F$15+'AA Exact Masses'!$Q$3-'Mass Ion Calculations'!$C$19-'Mass Ion Calculations'!$C40-'Mass Ion Calculations'!$D$5)))</f>
        <v/>
      </c>
      <c r="R39" s="3" t="str">
        <f>IF(OR($B39="",R$3=""),"",IF('Mass Ion Calculations'!$D$6="Yes",IF('Mass Ion Calculations'!$D$7="Yes",'Mass Ion Calculations'!$D$18+'AA Exact Masses'!$Q$3-'Mass Ion Calculations'!$C$20-'Mass Ion Calculations'!$C40-'Mass Ion Calculations'!$D$5,'Mass Ion Calculations'!$F$18+'AA Exact Masses'!$Q$3-'Mass Ion Calculations'!$C$20-'Mass Ion Calculations'!$C40-'Mass Ion Calculations'!$D$5),IF('Mass Ion Calculations'!$D$7="Yes", 'Mass Ion Calculations'!$D$15+'AA Exact Masses'!$Q$3-'Mass Ion Calculations'!$C$20-'Mass Ion Calculations'!$C40-'Mass Ion Calculations'!$D$5,'Mass Ion Calculations'!$F$15+'AA Exact Masses'!$Q$3-'Mass Ion Calculations'!$C$20-'Mass Ion Calculations'!$C40-'Mass Ion Calculations'!$D$5)))</f>
        <v/>
      </c>
      <c r="S39" s="3" t="str">
        <f>IF(OR($B39="",S$3=""),"",IF('Mass Ion Calculations'!$D$6="Yes",IF('Mass Ion Calculations'!$D$7="Yes",'Mass Ion Calculations'!$D$18+'AA Exact Masses'!$Q$3-'Mass Ion Calculations'!$C$21-'Mass Ion Calculations'!$C40-'Mass Ion Calculations'!$D$5,'Mass Ion Calculations'!$F$18+'AA Exact Masses'!$Q$3-'Mass Ion Calculations'!$C$21-'Mass Ion Calculations'!$C40-'Mass Ion Calculations'!$D$5),IF('Mass Ion Calculations'!$D$7="Yes", 'Mass Ion Calculations'!$D$15+'AA Exact Masses'!$Q$3-'Mass Ion Calculations'!$C$21-'Mass Ion Calculations'!$C40-'Mass Ion Calculations'!$D$5,'Mass Ion Calculations'!$F$15+'AA Exact Masses'!$Q$3-'Mass Ion Calculations'!$C$21-'Mass Ion Calculations'!$C40-'Mass Ion Calculations'!$D$5)))</f>
        <v/>
      </c>
      <c r="T39" s="3" t="str">
        <f>IF(OR($B39="",T$3=""),"",IF('Mass Ion Calculations'!$D$6="Yes",IF('Mass Ion Calculations'!$D$7="Yes",'Mass Ion Calculations'!$D$18+'AA Exact Masses'!$Q$3-'Mass Ion Calculations'!$C$22-'Mass Ion Calculations'!$C40-'Mass Ion Calculations'!$D$5,'Mass Ion Calculations'!$F$18+'AA Exact Masses'!$Q$3-'Mass Ion Calculations'!$C$22-'Mass Ion Calculations'!$C40-'Mass Ion Calculations'!$D$5),IF('Mass Ion Calculations'!$D$7="Yes", 'Mass Ion Calculations'!$D$15+'AA Exact Masses'!$Q$3-'Mass Ion Calculations'!$C$22-'Mass Ion Calculations'!$C40-'Mass Ion Calculations'!$D$5,'Mass Ion Calculations'!$F$15+'AA Exact Masses'!$Q$3-'Mass Ion Calculations'!$C$22-'Mass Ion Calculations'!$C40-'Mass Ion Calculations'!$D$5)))</f>
        <v/>
      </c>
      <c r="U39" s="3" t="str">
        <f>IF(OR($B39="",U$3=""),"",IF('Mass Ion Calculations'!$D$6="Yes",IF('Mass Ion Calculations'!$D$7="Yes",'Mass Ion Calculations'!$D$18+'AA Exact Masses'!$Q$3-'Mass Ion Calculations'!$C$23-'Mass Ion Calculations'!$C40-'Mass Ion Calculations'!$D$5,'Mass Ion Calculations'!$F$18+'AA Exact Masses'!$Q$3-'Mass Ion Calculations'!$C$23-'Mass Ion Calculations'!$C40-'Mass Ion Calculations'!$D$5),IF('Mass Ion Calculations'!$D$7="Yes", 'Mass Ion Calculations'!$D$15+'AA Exact Masses'!$Q$3-'Mass Ion Calculations'!$C$23-'Mass Ion Calculations'!$C40-'Mass Ion Calculations'!$D$5,'Mass Ion Calculations'!$F$15+'AA Exact Masses'!$Q$3-'Mass Ion Calculations'!$C$23-'Mass Ion Calculations'!$C40-'Mass Ion Calculations'!$D$5)))</f>
        <v/>
      </c>
      <c r="V39" s="3" t="str">
        <f>IF(OR($B39="",V$3=""),"",IF('Mass Ion Calculations'!$D$6="Yes",IF('Mass Ion Calculations'!$D$7="Yes",'Mass Ion Calculations'!$D$18+'AA Exact Masses'!$Q$3-'Mass Ion Calculations'!$C$24-'Mass Ion Calculations'!$C40-'Mass Ion Calculations'!$D$5,'Mass Ion Calculations'!$F$18+'AA Exact Masses'!$Q$3-'Mass Ion Calculations'!$C$24-'Mass Ion Calculations'!$C40-'Mass Ion Calculations'!$D$5),IF('Mass Ion Calculations'!$D$7="Yes", 'Mass Ion Calculations'!$D$15+'AA Exact Masses'!$Q$3-'Mass Ion Calculations'!$C$24-'Mass Ion Calculations'!$C40-'Mass Ion Calculations'!$D$5,'Mass Ion Calculations'!$F$15+'AA Exact Masses'!$Q$3-'Mass Ion Calculations'!$C$24-'Mass Ion Calculations'!$C40-'Mass Ion Calculations'!$D$5)))</f>
        <v/>
      </c>
      <c r="W39" s="3" t="str">
        <f>IF(OR($B39="",W$3=""),"",IF('Mass Ion Calculations'!$D$6="Yes",IF('Mass Ion Calculations'!$D$7="Yes",'Mass Ion Calculations'!$D$18+'AA Exact Masses'!$Q$3-'Mass Ion Calculations'!$C$25-'Mass Ion Calculations'!$C40-'Mass Ion Calculations'!$D$5,'Mass Ion Calculations'!$F$18+'AA Exact Masses'!$Q$3-'Mass Ion Calculations'!$C$25-'Mass Ion Calculations'!$C40-'Mass Ion Calculations'!$D$5),IF('Mass Ion Calculations'!$D$7="Yes", 'Mass Ion Calculations'!$D$15+'AA Exact Masses'!$Q$3-'Mass Ion Calculations'!$C$25-'Mass Ion Calculations'!$C40-'Mass Ion Calculations'!$D$5,'Mass Ion Calculations'!$F$15+'AA Exact Masses'!$Q$3-'Mass Ion Calculations'!$C$25-'Mass Ion Calculations'!$C40-'Mass Ion Calculations'!$D$5)))</f>
        <v/>
      </c>
      <c r="X39" s="3" t="str">
        <f>IF(OR($B39="",X$3=""),"",IF('Mass Ion Calculations'!$D$6="Yes",IF('Mass Ion Calculations'!$D$7="Yes",'Mass Ion Calculations'!$D$18+'AA Exact Masses'!$Q$3-'Mass Ion Calculations'!$C$26-'Mass Ion Calculations'!$C40-'Mass Ion Calculations'!$D$5,'Mass Ion Calculations'!$F$18+'AA Exact Masses'!$Q$3-'Mass Ion Calculations'!$C$26-'Mass Ion Calculations'!$C40-'Mass Ion Calculations'!$D$5),IF('Mass Ion Calculations'!$D$7="Yes", 'Mass Ion Calculations'!$D$15+'AA Exact Masses'!$Q$3-'Mass Ion Calculations'!$C$26-'Mass Ion Calculations'!$C40-'Mass Ion Calculations'!$D$5,'Mass Ion Calculations'!$F$15+'AA Exact Masses'!$Q$3-'Mass Ion Calculations'!$C$26-'Mass Ion Calculations'!$C40-'Mass Ion Calculations'!$D$5)))</f>
        <v/>
      </c>
      <c r="Y39" s="3" t="str">
        <f>IF(OR($B39="",Y$3=""),"",IF('Mass Ion Calculations'!$D$6="Yes",('Mass Ion Calculations'!$D$15+'AA Exact Masses'!$Q$3-'Mass Ion Calculations'!$C$7-'Mass Ion Calculations'!$C40-'Mass Ion Calculations'!$D$5-18.01),('Mass Ion Calculations'!$D$15+'AA Exact Masses'!$Q$3-'Mass Ion Calculations'!$C$7-'Mass Ion Calculations'!$C40-'Mass Ion Calculations'!$D$5)))</f>
        <v/>
      </c>
      <c r="Z39" s="3" t="str">
        <f>IF(OR($B39="",Z$3=""),"",IF('Mass Ion Calculations'!$D$6="Yes",('Mass Ion Calculations'!$D$15+'AA Exact Masses'!$Q$3-'Mass Ion Calculations'!$C$7-'Mass Ion Calculations'!$C40-'Mass Ion Calculations'!$D$5-18.01),('Mass Ion Calculations'!$D$15+'AA Exact Masses'!$Q$3-'Mass Ion Calculations'!$C$7-'Mass Ion Calculations'!$C40-'Mass Ion Calculations'!$D$5)))</f>
        <v/>
      </c>
    </row>
    <row r="40" spans="3:26" x14ac:dyDescent="0.25">
      <c r="C40" s="3" t="str">
        <f>IF(OR($B40="",C$3=""),"",IF('Mass Ion Calculations'!$D$6="Yes",IF('Mass Ion Calculations'!$D$7="Yes",'Mass Ion Calculations'!$D$18+'AA Exact Masses'!$Q$3-'Mass Ion Calculations'!$C$5-'Mass Ion Calculations'!$C41-'Mass Ion Calculations'!$D$5,'Mass Ion Calculations'!$F$18+'AA Exact Masses'!$Q$3-'Mass Ion Calculations'!$C$5-'Mass Ion Calculations'!$C41-'Mass Ion Calculations'!$D$5),IF('Mass Ion Calculations'!$D$7="Yes", 'Mass Ion Calculations'!$D$15+'AA Exact Masses'!$Q$3-'Mass Ion Calculations'!$C$5-'Mass Ion Calculations'!$C41-'Mass Ion Calculations'!$D$5,'Mass Ion Calculations'!$F$15+'AA Exact Masses'!$Q$3-'Mass Ion Calculations'!$C$5-'Mass Ion Calculations'!$C41-'Mass Ion Calculations'!$D$5)))</f>
        <v/>
      </c>
      <c r="D40" s="3" t="str">
        <f>IF(OR($B40="",D$3=""),"",IF('Mass Ion Calculations'!$D$6="Yes",IF('Mass Ion Calculations'!$D$7="Yes",'Mass Ion Calculations'!$D$18+'AA Exact Masses'!$Q$3-'Mass Ion Calculations'!$C$6-'Mass Ion Calculations'!$C41-'Mass Ion Calculations'!$D$5,'Mass Ion Calculations'!$F$18+'AA Exact Masses'!$Q$3-'Mass Ion Calculations'!$C$6-'Mass Ion Calculations'!$C41-'Mass Ion Calculations'!$D$5),IF('Mass Ion Calculations'!$D$7="Yes", 'Mass Ion Calculations'!$D$15+'AA Exact Masses'!$Q$3-'Mass Ion Calculations'!$C$6-'Mass Ion Calculations'!$C41-'Mass Ion Calculations'!$D$5,'Mass Ion Calculations'!$F$15+'AA Exact Masses'!$Q$3-'Mass Ion Calculations'!$C$6-'Mass Ion Calculations'!$C41-'Mass Ion Calculations'!$D$5)))</f>
        <v/>
      </c>
      <c r="E40" s="3" t="str">
        <f>IF(OR($B40="",E$3=""),"",IF('Mass Ion Calculations'!$D$6="Yes",IF('Mass Ion Calculations'!$D$7="Yes",'Mass Ion Calculations'!$D$18+'AA Exact Masses'!$Q$3-'Mass Ion Calculations'!$C$7-'Mass Ion Calculations'!$C41-'Mass Ion Calculations'!$D$5,'Mass Ion Calculations'!$F$18+'AA Exact Masses'!$Q$3-'Mass Ion Calculations'!$C$7-'Mass Ion Calculations'!$C41-'Mass Ion Calculations'!$D$5),IF('Mass Ion Calculations'!$D$7="Yes", 'Mass Ion Calculations'!$D$15+'AA Exact Masses'!$Q$3-'Mass Ion Calculations'!$C$7-'Mass Ion Calculations'!$C41-'Mass Ion Calculations'!$D$5,'Mass Ion Calculations'!$F$15+'AA Exact Masses'!$Q$3-'Mass Ion Calculations'!$C$7-'Mass Ion Calculations'!$C41-'Mass Ion Calculations'!$D$5)))</f>
        <v/>
      </c>
      <c r="F40" s="3" t="str">
        <f>IF(OR($B40="",F$3=""),"",IF('Mass Ion Calculations'!$D$6="Yes",IF('Mass Ion Calculations'!$D$7="Yes",'Mass Ion Calculations'!$D$18+'AA Exact Masses'!$Q$3-'Mass Ion Calculations'!$C$8-'Mass Ion Calculations'!$C41-'Mass Ion Calculations'!$D$5,'Mass Ion Calculations'!$F$18+'AA Exact Masses'!$Q$3-'Mass Ion Calculations'!$C$8-'Mass Ion Calculations'!$C41-'Mass Ion Calculations'!$D$5),IF('Mass Ion Calculations'!$D$7="Yes", 'Mass Ion Calculations'!$D$15+'AA Exact Masses'!$Q$3-'Mass Ion Calculations'!$C$8-'Mass Ion Calculations'!$C41-'Mass Ion Calculations'!$D$5,'Mass Ion Calculations'!$F$15+'AA Exact Masses'!$Q$3-'Mass Ion Calculations'!$C$8-'Mass Ion Calculations'!$C41-'Mass Ion Calculations'!$D$5)))</f>
        <v/>
      </c>
      <c r="G40" s="3" t="str">
        <f>IF(OR($B40="",G$3=""),"",IF('Mass Ion Calculations'!$D$6="Yes",IF('Mass Ion Calculations'!$D$7="Yes",'Mass Ion Calculations'!$D$18+'AA Exact Masses'!$Q$3-'Mass Ion Calculations'!$C$9-'Mass Ion Calculations'!$C41-'Mass Ion Calculations'!$D$5,'Mass Ion Calculations'!$F$18+'AA Exact Masses'!$Q$3-'Mass Ion Calculations'!$C$9-'Mass Ion Calculations'!$C41-'Mass Ion Calculations'!$D$5),IF('Mass Ion Calculations'!$D$7="Yes", 'Mass Ion Calculations'!$D$15+'AA Exact Masses'!$Q$3-'Mass Ion Calculations'!$C$9-'Mass Ion Calculations'!$C41-'Mass Ion Calculations'!$D$5,'Mass Ion Calculations'!$F$15+'AA Exact Masses'!$Q$3-'Mass Ion Calculations'!$C$9-'Mass Ion Calculations'!$C41-'Mass Ion Calculations'!$D$5)))</f>
        <v/>
      </c>
      <c r="H40" s="3" t="str">
        <f>IF(OR($B40="",H$3=""),"",IF('Mass Ion Calculations'!$D$6="Yes",IF('Mass Ion Calculations'!$D$7="Yes",'Mass Ion Calculations'!$D$18+'AA Exact Masses'!$Q$3-'Mass Ion Calculations'!$C$10-'Mass Ion Calculations'!$C41-'Mass Ion Calculations'!$D$5,'Mass Ion Calculations'!$F$18+'AA Exact Masses'!$Q$3-'Mass Ion Calculations'!$C$10-'Mass Ion Calculations'!$C41-'Mass Ion Calculations'!$D$5),IF('Mass Ion Calculations'!$D$7="Yes", 'Mass Ion Calculations'!$D$15+'AA Exact Masses'!$Q$3-'Mass Ion Calculations'!$C$10-'Mass Ion Calculations'!$C41-'Mass Ion Calculations'!$D$5,'Mass Ion Calculations'!$F$15+'AA Exact Masses'!$Q$3-'Mass Ion Calculations'!$C$10-'Mass Ion Calculations'!$C41-'Mass Ion Calculations'!$D$5)))</f>
        <v/>
      </c>
      <c r="I40" s="3" t="str">
        <f>IF(OR($B40="",I$3=""),"",IF('Mass Ion Calculations'!$D$6="Yes",IF('Mass Ion Calculations'!$D$7="Yes",'Mass Ion Calculations'!$D$18+'AA Exact Masses'!$Q$3-'Mass Ion Calculations'!$C$11-'Mass Ion Calculations'!$C41-'Mass Ion Calculations'!$D$5,'Mass Ion Calculations'!$F$18+'AA Exact Masses'!$Q$3-'Mass Ion Calculations'!$C$11-'Mass Ion Calculations'!$C41-'Mass Ion Calculations'!$D$5),IF('Mass Ion Calculations'!$D$7="Yes", 'Mass Ion Calculations'!$D$15+'AA Exact Masses'!$Q$3-'Mass Ion Calculations'!$C$11-'Mass Ion Calculations'!$C41-'Mass Ion Calculations'!$D$5,'Mass Ion Calculations'!$F$15+'AA Exact Masses'!$Q$3-'Mass Ion Calculations'!$C$11-'Mass Ion Calculations'!$C41-'Mass Ion Calculations'!$D$5)))</f>
        <v/>
      </c>
      <c r="J40" s="3" t="str">
        <f>IF(OR($B40="",J$3=""),"",IF('Mass Ion Calculations'!$D$6="Yes",IF('Mass Ion Calculations'!$D$7="Yes",'Mass Ion Calculations'!$D$18+'AA Exact Masses'!$Q$3-'Mass Ion Calculations'!$C$12-'Mass Ion Calculations'!$C41-'Mass Ion Calculations'!$D$5,'Mass Ion Calculations'!$F$18+'AA Exact Masses'!$Q$3-'Mass Ion Calculations'!$C$12-'Mass Ion Calculations'!$C41-'Mass Ion Calculations'!$D$5),IF('Mass Ion Calculations'!$D$7="Yes", 'Mass Ion Calculations'!$D$15+'AA Exact Masses'!$Q$3-'Mass Ion Calculations'!$C$12-'Mass Ion Calculations'!$C41-'Mass Ion Calculations'!$D$5,'Mass Ion Calculations'!$F$15+'AA Exact Masses'!$Q$3-'Mass Ion Calculations'!$C$12-'Mass Ion Calculations'!$C41-'Mass Ion Calculations'!$D$5)))</f>
        <v/>
      </c>
      <c r="K40" s="3" t="str">
        <f>IF(OR($B40="",K$3=""),"",IF('Mass Ion Calculations'!$D$6="Yes",IF('Mass Ion Calculations'!$D$7="Yes",'Mass Ion Calculations'!$D$18+'AA Exact Masses'!$Q$3-'Mass Ion Calculations'!$C$13-'Mass Ion Calculations'!$C41-'Mass Ion Calculations'!$D$5,'Mass Ion Calculations'!$F$18+'AA Exact Masses'!$Q$3-'Mass Ion Calculations'!$C$13-'Mass Ion Calculations'!$C41-'Mass Ion Calculations'!$D$5),IF('Mass Ion Calculations'!$D$7="Yes", 'Mass Ion Calculations'!$D$15+'AA Exact Masses'!$Q$3-'Mass Ion Calculations'!$C$13-'Mass Ion Calculations'!$C41-'Mass Ion Calculations'!$D$5,'Mass Ion Calculations'!$F$15+'AA Exact Masses'!$Q$3-'Mass Ion Calculations'!$C$13-'Mass Ion Calculations'!$C41-'Mass Ion Calculations'!$D$5)))</f>
        <v/>
      </c>
      <c r="L40" s="3" t="str">
        <f>IF(OR($B40="",L$3=""),"",IF('Mass Ion Calculations'!$D$6="Yes",IF('Mass Ion Calculations'!$D$7="Yes",'Mass Ion Calculations'!$D$18+'AA Exact Masses'!$Q$3-'Mass Ion Calculations'!$C$14-'Mass Ion Calculations'!$C41-'Mass Ion Calculations'!$D$5,'Mass Ion Calculations'!$F$18+'AA Exact Masses'!$Q$3-'Mass Ion Calculations'!$C$14-'Mass Ion Calculations'!$C41-'Mass Ion Calculations'!$D$5),IF('Mass Ion Calculations'!$D$7="Yes", 'Mass Ion Calculations'!$D$15+'AA Exact Masses'!$Q$3-'Mass Ion Calculations'!$C$14-'Mass Ion Calculations'!$C41-'Mass Ion Calculations'!$D$5,'Mass Ion Calculations'!$F$15+'AA Exact Masses'!$Q$3-'Mass Ion Calculations'!$C$14-'Mass Ion Calculations'!$C41-'Mass Ion Calculations'!$D$5)))</f>
        <v/>
      </c>
      <c r="M40" s="3" t="str">
        <f>IF(OR($B40="",M$3=""),"",IF('Mass Ion Calculations'!$D$6="Yes",IF('Mass Ion Calculations'!$D$7="Yes",'Mass Ion Calculations'!$D$18+'AA Exact Masses'!$Q$3-'Mass Ion Calculations'!$C$15-'Mass Ion Calculations'!$C41-'Mass Ion Calculations'!$D$5,'Mass Ion Calculations'!$F$18+'AA Exact Masses'!$Q$3-'Mass Ion Calculations'!$C$15-'Mass Ion Calculations'!$C41-'Mass Ion Calculations'!$D$5),IF('Mass Ion Calculations'!$D$7="Yes", 'Mass Ion Calculations'!$D$15+'AA Exact Masses'!$Q$3-'Mass Ion Calculations'!$C$15-'Mass Ion Calculations'!$C41-'Mass Ion Calculations'!$D$5,'Mass Ion Calculations'!$F$15+'AA Exact Masses'!$Q$3-'Mass Ion Calculations'!$C$15-'Mass Ion Calculations'!$C41-'Mass Ion Calculations'!$D$5)))</f>
        <v/>
      </c>
      <c r="N40" s="3" t="str">
        <f>IF(OR($B40="",N$3=""),"",IF('Mass Ion Calculations'!$D$6="Yes",IF('Mass Ion Calculations'!$D$7="Yes",'Mass Ion Calculations'!$D$18+'AA Exact Masses'!$Q$3-'Mass Ion Calculations'!$C$16-'Mass Ion Calculations'!$C41-'Mass Ion Calculations'!$D$5,'Mass Ion Calculations'!$F$18+'AA Exact Masses'!$Q$3-'Mass Ion Calculations'!$C$16-'Mass Ion Calculations'!$C41-'Mass Ion Calculations'!$D$5),IF('Mass Ion Calculations'!$D$7="Yes", 'Mass Ion Calculations'!$D$15+'AA Exact Masses'!$Q$3-'Mass Ion Calculations'!$C$16-'Mass Ion Calculations'!$C41-'Mass Ion Calculations'!$D$5,'Mass Ion Calculations'!$F$15+'AA Exact Masses'!$Q$3-'Mass Ion Calculations'!$C$16-'Mass Ion Calculations'!$C41-'Mass Ion Calculations'!$D$5)))</f>
        <v/>
      </c>
      <c r="O40" s="3" t="str">
        <f>IF(OR($B40="",O$3=""),"",IF('Mass Ion Calculations'!$D$6="Yes",IF('Mass Ion Calculations'!$D$7="Yes",'Mass Ion Calculations'!$D$18+'AA Exact Masses'!$Q$3-'Mass Ion Calculations'!$C$17-'Mass Ion Calculations'!$C41-'Mass Ion Calculations'!$D$5,'Mass Ion Calculations'!$F$18+'AA Exact Masses'!$Q$3-'Mass Ion Calculations'!$C$17-'Mass Ion Calculations'!$C41-'Mass Ion Calculations'!$D$5),IF('Mass Ion Calculations'!$D$7="Yes", 'Mass Ion Calculations'!$D$15+'AA Exact Masses'!$Q$3-'Mass Ion Calculations'!$C$17-'Mass Ion Calculations'!$C41-'Mass Ion Calculations'!$D$5,'Mass Ion Calculations'!$F$15+'AA Exact Masses'!$Q$3-'Mass Ion Calculations'!$C$17-'Mass Ion Calculations'!$C41-'Mass Ion Calculations'!$D$5)))</f>
        <v/>
      </c>
      <c r="P40" s="3" t="str">
        <f>IF(OR($B40="",P$3=""),"",IF('Mass Ion Calculations'!$D$6="Yes",IF('Mass Ion Calculations'!$D$7="Yes",'Mass Ion Calculations'!$D$18+'AA Exact Masses'!$Q$3-'Mass Ion Calculations'!$C$18-'Mass Ion Calculations'!$C41-'Mass Ion Calculations'!$D$5,'Mass Ion Calculations'!$F$18+'AA Exact Masses'!$Q$3-'Mass Ion Calculations'!$C$18-'Mass Ion Calculations'!$C41-'Mass Ion Calculations'!$D$5),IF('Mass Ion Calculations'!$D$7="Yes", 'Mass Ion Calculations'!$D$15+'AA Exact Masses'!$Q$3-'Mass Ion Calculations'!$C$18-'Mass Ion Calculations'!$C41-'Mass Ion Calculations'!$D$5,'Mass Ion Calculations'!$F$15+'AA Exact Masses'!$Q$3-'Mass Ion Calculations'!$C$18-'Mass Ion Calculations'!$C41-'Mass Ion Calculations'!$D$5)))</f>
        <v/>
      </c>
      <c r="Q40" s="3" t="str">
        <f>IF(OR($B40="",Q$3=""),"",IF('Mass Ion Calculations'!$D$6="Yes",IF('Mass Ion Calculations'!$D$7="Yes",'Mass Ion Calculations'!$D$18+'AA Exact Masses'!$Q$3-'Mass Ion Calculations'!$C$19-'Mass Ion Calculations'!$C41-'Mass Ion Calculations'!$D$5,'Mass Ion Calculations'!$F$18+'AA Exact Masses'!$Q$3-'Mass Ion Calculations'!$C$19-'Mass Ion Calculations'!$C41-'Mass Ion Calculations'!$D$5),IF('Mass Ion Calculations'!$D$7="Yes", 'Mass Ion Calculations'!$D$15+'AA Exact Masses'!$Q$3-'Mass Ion Calculations'!$C$19-'Mass Ion Calculations'!$C41-'Mass Ion Calculations'!$D$5,'Mass Ion Calculations'!$F$15+'AA Exact Masses'!$Q$3-'Mass Ion Calculations'!$C$19-'Mass Ion Calculations'!$C41-'Mass Ion Calculations'!$D$5)))</f>
        <v/>
      </c>
      <c r="R40" s="3" t="str">
        <f>IF(OR($B40="",R$3=""),"",IF('Mass Ion Calculations'!$D$6="Yes",IF('Mass Ion Calculations'!$D$7="Yes",'Mass Ion Calculations'!$D$18+'AA Exact Masses'!$Q$3-'Mass Ion Calculations'!$C$20-'Mass Ion Calculations'!$C41-'Mass Ion Calculations'!$D$5,'Mass Ion Calculations'!$F$18+'AA Exact Masses'!$Q$3-'Mass Ion Calculations'!$C$20-'Mass Ion Calculations'!$C41-'Mass Ion Calculations'!$D$5),IF('Mass Ion Calculations'!$D$7="Yes", 'Mass Ion Calculations'!$D$15+'AA Exact Masses'!$Q$3-'Mass Ion Calculations'!$C$20-'Mass Ion Calculations'!$C41-'Mass Ion Calculations'!$D$5,'Mass Ion Calculations'!$F$15+'AA Exact Masses'!$Q$3-'Mass Ion Calculations'!$C$20-'Mass Ion Calculations'!$C41-'Mass Ion Calculations'!$D$5)))</f>
        <v/>
      </c>
      <c r="S40" s="3" t="str">
        <f>IF(OR($B40="",S$3=""),"",IF('Mass Ion Calculations'!$D$6="Yes",IF('Mass Ion Calculations'!$D$7="Yes",'Mass Ion Calculations'!$D$18+'AA Exact Masses'!$Q$3-'Mass Ion Calculations'!$C$21-'Mass Ion Calculations'!$C41-'Mass Ion Calculations'!$D$5,'Mass Ion Calculations'!$F$18+'AA Exact Masses'!$Q$3-'Mass Ion Calculations'!$C$21-'Mass Ion Calculations'!$C41-'Mass Ion Calculations'!$D$5),IF('Mass Ion Calculations'!$D$7="Yes", 'Mass Ion Calculations'!$D$15+'AA Exact Masses'!$Q$3-'Mass Ion Calculations'!$C$21-'Mass Ion Calculations'!$C41-'Mass Ion Calculations'!$D$5,'Mass Ion Calculations'!$F$15+'AA Exact Masses'!$Q$3-'Mass Ion Calculations'!$C$21-'Mass Ion Calculations'!$C41-'Mass Ion Calculations'!$D$5)))</f>
        <v/>
      </c>
      <c r="T40" s="3" t="str">
        <f>IF(OR($B40="",T$3=""),"",IF('Mass Ion Calculations'!$D$6="Yes",IF('Mass Ion Calculations'!$D$7="Yes",'Mass Ion Calculations'!$D$18+'AA Exact Masses'!$Q$3-'Mass Ion Calculations'!$C$22-'Mass Ion Calculations'!$C41-'Mass Ion Calculations'!$D$5,'Mass Ion Calculations'!$F$18+'AA Exact Masses'!$Q$3-'Mass Ion Calculations'!$C$22-'Mass Ion Calculations'!$C41-'Mass Ion Calculations'!$D$5),IF('Mass Ion Calculations'!$D$7="Yes", 'Mass Ion Calculations'!$D$15+'AA Exact Masses'!$Q$3-'Mass Ion Calculations'!$C$22-'Mass Ion Calculations'!$C41-'Mass Ion Calculations'!$D$5,'Mass Ion Calculations'!$F$15+'AA Exact Masses'!$Q$3-'Mass Ion Calculations'!$C$22-'Mass Ion Calculations'!$C41-'Mass Ion Calculations'!$D$5)))</f>
        <v/>
      </c>
      <c r="U40" s="3" t="str">
        <f>IF(OR($B40="",U$3=""),"",IF('Mass Ion Calculations'!$D$6="Yes",IF('Mass Ion Calculations'!$D$7="Yes",'Mass Ion Calculations'!$D$18+'AA Exact Masses'!$Q$3-'Mass Ion Calculations'!$C$23-'Mass Ion Calculations'!$C41-'Mass Ion Calculations'!$D$5,'Mass Ion Calculations'!$F$18+'AA Exact Masses'!$Q$3-'Mass Ion Calculations'!$C$23-'Mass Ion Calculations'!$C41-'Mass Ion Calculations'!$D$5),IF('Mass Ion Calculations'!$D$7="Yes", 'Mass Ion Calculations'!$D$15+'AA Exact Masses'!$Q$3-'Mass Ion Calculations'!$C$23-'Mass Ion Calculations'!$C41-'Mass Ion Calculations'!$D$5,'Mass Ion Calculations'!$F$15+'AA Exact Masses'!$Q$3-'Mass Ion Calculations'!$C$23-'Mass Ion Calculations'!$C41-'Mass Ion Calculations'!$D$5)))</f>
        <v/>
      </c>
      <c r="V40" s="3" t="str">
        <f>IF(OR($B40="",V$3=""),"",IF('Mass Ion Calculations'!$D$6="Yes",IF('Mass Ion Calculations'!$D$7="Yes",'Mass Ion Calculations'!$D$18+'AA Exact Masses'!$Q$3-'Mass Ion Calculations'!$C$24-'Mass Ion Calculations'!$C41-'Mass Ion Calculations'!$D$5,'Mass Ion Calculations'!$F$18+'AA Exact Masses'!$Q$3-'Mass Ion Calculations'!$C$24-'Mass Ion Calculations'!$C41-'Mass Ion Calculations'!$D$5),IF('Mass Ion Calculations'!$D$7="Yes", 'Mass Ion Calculations'!$D$15+'AA Exact Masses'!$Q$3-'Mass Ion Calculations'!$C$24-'Mass Ion Calculations'!$C41-'Mass Ion Calculations'!$D$5,'Mass Ion Calculations'!$F$15+'AA Exact Masses'!$Q$3-'Mass Ion Calculations'!$C$24-'Mass Ion Calculations'!$C41-'Mass Ion Calculations'!$D$5)))</f>
        <v/>
      </c>
      <c r="W40" s="3" t="str">
        <f>IF(OR($B40="",W$3=""),"",IF('Mass Ion Calculations'!$D$6="Yes",IF('Mass Ion Calculations'!$D$7="Yes",'Mass Ion Calculations'!$D$18+'AA Exact Masses'!$Q$3-'Mass Ion Calculations'!$C$25-'Mass Ion Calculations'!$C41-'Mass Ion Calculations'!$D$5,'Mass Ion Calculations'!$F$18+'AA Exact Masses'!$Q$3-'Mass Ion Calculations'!$C$25-'Mass Ion Calculations'!$C41-'Mass Ion Calculations'!$D$5),IF('Mass Ion Calculations'!$D$7="Yes", 'Mass Ion Calculations'!$D$15+'AA Exact Masses'!$Q$3-'Mass Ion Calculations'!$C$25-'Mass Ion Calculations'!$C41-'Mass Ion Calculations'!$D$5,'Mass Ion Calculations'!$F$15+'AA Exact Masses'!$Q$3-'Mass Ion Calculations'!$C$25-'Mass Ion Calculations'!$C41-'Mass Ion Calculations'!$D$5)))</f>
        <v/>
      </c>
      <c r="X40" s="3" t="str">
        <f>IF(OR($B40="",X$3=""),"",IF('Mass Ion Calculations'!$D$6="Yes",IF('Mass Ion Calculations'!$D$7="Yes",'Mass Ion Calculations'!$D$18+'AA Exact Masses'!$Q$3-'Mass Ion Calculations'!$C$26-'Mass Ion Calculations'!$C41-'Mass Ion Calculations'!$D$5,'Mass Ion Calculations'!$F$18+'AA Exact Masses'!$Q$3-'Mass Ion Calculations'!$C$26-'Mass Ion Calculations'!$C41-'Mass Ion Calculations'!$D$5),IF('Mass Ion Calculations'!$D$7="Yes", 'Mass Ion Calculations'!$D$15+'AA Exact Masses'!$Q$3-'Mass Ion Calculations'!$C$26-'Mass Ion Calculations'!$C41-'Mass Ion Calculations'!$D$5,'Mass Ion Calculations'!$F$15+'AA Exact Masses'!$Q$3-'Mass Ion Calculations'!$C$26-'Mass Ion Calculations'!$C41-'Mass Ion Calculations'!$D$5)))</f>
        <v/>
      </c>
      <c r="Y40" s="3" t="str">
        <f>IF(OR($B40="",Y$3=""),"",IF('Mass Ion Calculations'!$D$6="Yes",('Mass Ion Calculations'!$D$15+'AA Exact Masses'!$Q$3-'Mass Ion Calculations'!$C$7-'Mass Ion Calculations'!$C41-'Mass Ion Calculations'!$D$5-18.01),('Mass Ion Calculations'!$D$15+'AA Exact Masses'!$Q$3-'Mass Ion Calculations'!$C$7-'Mass Ion Calculations'!$C41-'Mass Ion Calculations'!$D$5)))</f>
        <v/>
      </c>
      <c r="Z40" s="3" t="str">
        <f>IF(OR($B40="",Z$3=""),"",IF('Mass Ion Calculations'!$D$6="Yes",('Mass Ion Calculations'!$D$15+'AA Exact Masses'!$Q$3-'Mass Ion Calculations'!$C$7-'Mass Ion Calculations'!$C41-'Mass Ion Calculations'!$D$5-18.01),('Mass Ion Calculations'!$D$15+'AA Exact Masses'!$Q$3-'Mass Ion Calculations'!$C$7-'Mass Ion Calculations'!$C41-'Mass Ion Calculations'!$D$5)))</f>
        <v/>
      </c>
    </row>
  </sheetData>
  <conditionalFormatting sqref="C39:Z40 P31:Z38">
    <cfRule type="cellIs" dxfId="6" priority="2" operator="between">
      <formula>2</formula>
      <formula>-2</formula>
    </cfRule>
  </conditionalFormatting>
  <conditionalFormatting sqref="C6:O38 C4:Z5 P6:Z30">
    <cfRule type="cellIs" dxfId="5" priority="1" operator="between">
      <formula>2</formula>
      <formula>-2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Z39"/>
  <sheetViews>
    <sheetView workbookViewId="0">
      <selection activeCell="S16" sqref="S16"/>
    </sheetView>
  </sheetViews>
  <sheetFormatPr defaultRowHeight="15" x14ac:dyDescent="0.25"/>
  <cols>
    <col min="13" max="14" width="9.5703125" bestFit="1" customWidth="1"/>
  </cols>
  <sheetData>
    <row r="1" spans="2:26" x14ac:dyDescent="0.25">
      <c r="E1" t="s">
        <v>77</v>
      </c>
      <c r="G1" s="24" t="str">
        <f>IF('Mass Ion Calculations'!$D$6="Yes","Cyclic","Linear")</f>
        <v>Cyclic</v>
      </c>
      <c r="H1" s="24" t="str">
        <f>IF('Mass Ion Calculations'!$D$7="Yes","Protected","Deprotected")</f>
        <v>Deprotected</v>
      </c>
      <c r="J1" s="3"/>
      <c r="K1" s="3"/>
      <c r="L1" s="3"/>
      <c r="M1" s="3"/>
      <c r="N1" s="3"/>
      <c r="O1" s="3"/>
    </row>
    <row r="2" spans="2:26" x14ac:dyDescent="0.25">
      <c r="D2" t="s">
        <v>51</v>
      </c>
    </row>
    <row r="3" spans="2:26" x14ac:dyDescent="0.25">
      <c r="B3" s="4" t="s">
        <v>43</v>
      </c>
      <c r="C3" s="4" t="str">
        <f>IF('Mass Ion Calculations'!$B5="","",'Mass Ion Calculations'!$B5)</f>
        <v>Orn(Boc)</v>
      </c>
      <c r="D3" s="4" t="str">
        <f>IF('Mass Ion Calculations'!$B6="","",'Mass Ion Calculations'!$B6)</f>
        <v>Ala</v>
      </c>
      <c r="E3" s="4" t="str">
        <f>IF('Mass Ion Calculations'!$B7="","",'Mass Ion Calculations'!$B7)</f>
        <v>Ile</v>
      </c>
      <c r="F3" s="4" t="str">
        <f>IF('Mass Ion Calculations'!$B8="","",'Mass Ion Calculations'!$B8)</f>
        <v>Ile</v>
      </c>
      <c r="G3" s="4" t="str">
        <f>IF('Mass Ion Calculations'!$B9="","",'Mass Ion Calculations'!$B9)</f>
        <v>N-Meth-Gly</v>
      </c>
      <c r="H3" s="4" t="str">
        <f>IF('Mass Ion Calculations'!$B10="","",'Mass Ion Calculations'!$B10)</f>
        <v>Leu</v>
      </c>
      <c r="I3" s="4" t="str">
        <f>IF('Mass Ion Calculations'!$B11="","",'Mass Ion Calculations'!$B11)</f>
        <v>Orn(Boc)</v>
      </c>
      <c r="J3" s="4" t="str">
        <f>IF('Mass Ion Calculations'!$B12="","",'Mass Ion Calculations'!$B12)</f>
        <v>Val</v>
      </c>
      <c r="K3" s="4" t="str">
        <f>IF('Mass Ion Calculations'!$B13="","",'Mass Ion Calculations'!$B13)</f>
        <v>Orn(Boc)</v>
      </c>
      <c r="L3" s="4" t="str">
        <f>IF('Mass Ion Calculations'!$B14="","",'Mass Ion Calculations'!$B14)</f>
        <v>Glu(OtBu)</v>
      </c>
      <c r="M3" s="4" t="str">
        <f>IF('Mass Ion Calculations'!$B15="","",'Mass Ion Calculations'!$B15)</f>
        <v>Asp(tBu)</v>
      </c>
      <c r="N3" s="4" t="str">
        <f>IF('Mass Ion Calculations'!$B16="","",'Mass Ion Calculations'!$B16)</f>
        <v>Ala</v>
      </c>
      <c r="O3" s="4" t="str">
        <f>IF('Mass Ion Calculations'!$B17="","",'Mass Ion Calculations'!$B17)</f>
        <v>Phe</v>
      </c>
      <c r="P3" s="4" t="str">
        <f>IF('Mass Ion Calculations'!$B18="","",'Mass Ion Calculations'!$B18)</f>
        <v>Phe-I</v>
      </c>
      <c r="Q3" s="4" t="str">
        <f>IF('Mass Ion Calculations'!$B19="","",'Mass Ion Calculations'!$B19)</f>
        <v>Val</v>
      </c>
      <c r="R3" s="4" t="str">
        <f>IF('Mass Ion Calculations'!$B20="","",'Mass Ion Calculations'!$B20)</f>
        <v>Leu</v>
      </c>
      <c r="S3" s="4" t="str">
        <f>IF('Mass Ion Calculations'!$B21="","",'Mass Ion Calculations'!$B21)</f>
        <v/>
      </c>
      <c r="T3" s="4" t="str">
        <f>IF('Mass Ion Calculations'!$B22="","",'Mass Ion Calculations'!$B22)</f>
        <v>HOAt</v>
      </c>
      <c r="U3" s="4" t="str">
        <f>IF('Mass Ion Calculations'!$B23="","",'Mass Ion Calculations'!$B5)</f>
        <v>Orn(Boc)</v>
      </c>
      <c r="V3" s="4" t="str">
        <f>IF('Mass Ion Calculations'!$B24="","",'Mass Ion Calculations'!$B24)</f>
        <v/>
      </c>
      <c r="W3" s="4" t="str">
        <f>IF('Mass Ion Calculations'!$B25="","",'Mass Ion Calculations'!$B25)</f>
        <v/>
      </c>
      <c r="X3" s="4" t="str">
        <f>IF('Mass Ion Calculations'!$B26="","",'Mass Ion Calculations'!$B26)</f>
        <v/>
      </c>
      <c r="Y3" s="4" t="str">
        <f>IF('Mass Ion Calculations'!$B27="","",'Mass Ion Calculations'!$B27)</f>
        <v/>
      </c>
    </row>
    <row r="4" spans="2:26" x14ac:dyDescent="0.25">
      <c r="B4" s="4" t="str">
        <f>IF('Mass Ion Calculations'!B5="","", 'Mass Ion Calculations'!B5)</f>
        <v>Orn(Boc)</v>
      </c>
      <c r="C4" s="3">
        <f>IF(OR($B4="",C$3=""),"",IF('Mass Ion Calculations'!$D$6="Yes",IF('Mass Ion Calculations'!$D$7="Yes",('Mass Ion Calculations'!$D$18+'AA Exact Masses'!$Q$3+'AA Exact Masses'!$Q$2-'Mass Ion Calculations'!$C$5-'Mass Ion Calculations'!$C5)/2-'Mass Ion Calculations'!$D$5,('Mass Ion Calculations'!$F$18+'AA Exact Masses'!$Q$3+'AA Exact Masses'!$Q$2-'Mass Ion Calculations'!$E$5-'Mass Ion Calculations'!$E5)/2-'Mass Ion Calculations'!$D$5),IF('Mass Ion Calculations'!$D$7="Yes", ('Mass Ion Calculations'!$D$15+'AA Exact Masses'!$Q$3+'AA Exact Masses'!$Q$2-'Mass Ion Calculations'!$C$5-'Mass Ion Calculations'!$C5)/2-'Mass Ion Calculations'!$D$5,('Mass Ion Calculations'!$F$15+'AA Exact Masses'!$Q$3+'AA Exact Masses'!$Q$2-'Mass Ion Calculations'!$E$5-'Mass Ion Calculations'!$E5)/2-'Mass Ion Calculations'!$D$5)))</f>
        <v>-414.11783500000001</v>
      </c>
      <c r="D4" s="3">
        <f>IF(OR($B4="",D$3=""),"",IF('Mass Ion Calculations'!$D$6="Yes",IF('Mass Ion Calculations'!$D$7="Yes",('Mass Ion Calculations'!$D$18+'AA Exact Masses'!$Q$3+'AA Exact Masses'!$Q$2-'Mass Ion Calculations'!$C$6-'Mass Ion Calculations'!$C5)/2-'Mass Ion Calculations'!$D$5,('Mass Ion Calculations'!$F$18+'AA Exact Masses'!$Q$3+'AA Exact Masses'!$Q$2-'Mass Ion Calculations'!$E$6-'Mass Ion Calculations'!$E5)/2-'Mass Ion Calculations'!$D$5),IF('Mass Ion Calculations'!$D$7="Yes", ('Mass Ion Calculations'!$D$15+'AA Exact Masses'!$Q$3+'AA Exact Masses'!$Q$2-'Mass Ion Calculations'!$C$6-'Mass Ion Calculations'!$C5)/2-'Mass Ion Calculations'!$D$5,('Mass Ion Calculations'!$F$15+'AA Exact Masses'!$Q$3+'AA Exact Masses'!$Q$2-'Mass Ion Calculations'!$E$6-'Mass Ion Calculations'!$E5)/2-'Mass Ion Calculations'!$D$5)))</f>
        <v>-392.59672999999998</v>
      </c>
      <c r="E4" s="3">
        <f>IF(OR($B4="",E$3=""),"",IF('Mass Ion Calculations'!$D$6="Yes",IF('Mass Ion Calculations'!$D$7="Yes",('Mass Ion Calculations'!$D$18+'AA Exact Masses'!$Q$3+'AA Exact Masses'!$Q$2-'Mass Ion Calculations'!$C$7-'Mass Ion Calculations'!$C5)/2-'Mass Ion Calculations'!$D$5,('Mass Ion Calculations'!$F$18+'AA Exact Masses'!$Q$3+'AA Exact Masses'!$Q$2-'Mass Ion Calculations'!$E$7-'Mass Ion Calculations'!$E5)/2-'Mass Ion Calculations'!$D$5),IF('Mass Ion Calculations'!$D$7="Yes", ('Mass Ion Calculations'!$D$15+'AA Exact Masses'!$Q$3+'AA Exact Masses'!$Q$2-'Mass Ion Calculations'!$C$7-'Mass Ion Calculations'!$C5)/2-'Mass Ion Calculations'!$D$5,('Mass Ion Calculations'!$F$15+'AA Exact Masses'!$Q$3+'AA Exact Masses'!$Q$2-'Mass Ion Calculations'!$E$7-'Mass Ion Calculations'!$E5)/2-'Mass Ion Calculations'!$D$5)))</f>
        <v>-413.62020499999994</v>
      </c>
      <c r="F4" s="3">
        <f>IF(OR($B4="",F$3=""),"",IF('Mass Ion Calculations'!$D$6="Yes",IF('Mass Ion Calculations'!$D$7="Yes",('Mass Ion Calculations'!$D$18+'AA Exact Masses'!$Q$3+'AA Exact Masses'!$Q$2-'Mass Ion Calculations'!$C$8-'Mass Ion Calculations'!$C5)/2-'Mass Ion Calculations'!$D$5,('Mass Ion Calculations'!$F$18+'AA Exact Masses'!$Q$3+'AA Exact Masses'!$Q$2-'Mass Ion Calculations'!$E$8-'Mass Ion Calculations'!$E5)/2-'Mass Ion Calculations'!$D$5),IF('Mass Ion Calculations'!$D$7="Yes", ('Mass Ion Calculations'!$D$15+'AA Exact Masses'!$Q$3+'AA Exact Masses'!$Q$2-'Mass Ion Calculations'!$C$8-'Mass Ion Calculations'!$C5)/2-'Mass Ion Calculations'!$D$5,('Mass Ion Calculations'!$F$15+'AA Exact Masses'!$Q$3+'AA Exact Masses'!$Q$2-'Mass Ion Calculations'!$E$8-'Mass Ion Calculations'!$E5)/2-'Mass Ion Calculations'!$D$5)))</f>
        <v>-413.62020499999994</v>
      </c>
      <c r="G4" s="3">
        <f>IF(OR($B4="",G$3=""),"",IF('Mass Ion Calculations'!$D$6="Yes",IF('Mass Ion Calculations'!$D$7="Yes",('Mass Ion Calculations'!$D$18+'AA Exact Masses'!$Q$3+'AA Exact Masses'!$Q$2-'Mass Ion Calculations'!$C$9-'Mass Ion Calculations'!$C5)/2-'Mass Ion Calculations'!$D$5,('Mass Ion Calculations'!$F$18+'AA Exact Masses'!$Q$3+'AA Exact Masses'!$Q$2-'Mass Ion Calculations'!$E$9-'Mass Ion Calculations'!$E5)/2-'Mass Ion Calculations'!$D$5),IF('Mass Ion Calculations'!$D$7="Yes", ('Mass Ion Calculations'!$D$15+'AA Exact Masses'!$Q$3+'AA Exact Masses'!$Q$2-'Mass Ion Calculations'!$C$9-'Mass Ion Calculations'!$C5)/2-'Mass Ion Calculations'!$D$5,('Mass Ion Calculations'!$F$15+'AA Exact Masses'!$Q$3+'AA Exact Masses'!$Q$2-'Mass Ion Calculations'!$E$9-'Mass Ion Calculations'!$E5)/2-'Mass Ion Calculations'!$D$5)))</f>
        <v>-392.59672999999998</v>
      </c>
      <c r="H4" s="3">
        <f>IF(OR($B4="",H$3=""),"",IF('Mass Ion Calculations'!$D$6="Yes",IF('Mass Ion Calculations'!$D$7="Yes",('Mass Ion Calculations'!$D$18+'AA Exact Masses'!$Q$3+'AA Exact Masses'!$Q$2-'Mass Ion Calculations'!$C$10-'Mass Ion Calculations'!$C5)/2-'Mass Ion Calculations'!$D$5,('Mass Ion Calculations'!$F$18+'AA Exact Masses'!$Q$3+'AA Exact Masses'!$Q$2-'Mass Ion Calculations'!$E$10-'Mass Ion Calculations'!$E5)/2-'Mass Ion Calculations'!$D$5),IF('Mass Ion Calculations'!$D$7="Yes", ('Mass Ion Calculations'!$D$15+'AA Exact Masses'!$Q$3+'AA Exact Masses'!$Q$2-'Mass Ion Calculations'!$C$10-'Mass Ion Calculations'!$C5)/2-'Mass Ion Calculations'!$D$5,('Mass Ion Calculations'!$F$15+'AA Exact Masses'!$Q$3+'AA Exact Masses'!$Q$2-'Mass Ion Calculations'!$E$10-'Mass Ion Calculations'!$E5)/2-'Mass Ion Calculations'!$D$5)))</f>
        <v>-413.62020499999994</v>
      </c>
      <c r="I4" s="3">
        <f>IF(OR($B4="",I$3=""),"",IF('Mass Ion Calculations'!$D$6="Yes",IF('Mass Ion Calculations'!$D$7="Yes",('Mass Ion Calculations'!$D$18+'AA Exact Masses'!$Q$3+'AA Exact Masses'!$Q$2-'Mass Ion Calculations'!$C$11-'Mass Ion Calculations'!$C5)/2-'Mass Ion Calculations'!$D$5,('Mass Ion Calculations'!$F$18+'AA Exact Masses'!$Q$3+'AA Exact Masses'!$Q$2-'Mass Ion Calculations'!$E$11-'Mass Ion Calculations'!$E5)/2-'Mass Ion Calculations'!$D$5),IF('Mass Ion Calculations'!$D$7="Yes", ('Mass Ion Calculations'!$D$15+'AA Exact Masses'!$Q$3+'AA Exact Masses'!$Q$2-'Mass Ion Calculations'!$C$11-'Mass Ion Calculations'!$C5)/2-'Mass Ion Calculations'!$D$5,('Mass Ion Calculations'!$F$15+'AA Exact Masses'!$Q$3+'AA Exact Masses'!$Q$2-'Mass Ion Calculations'!$E$11-'Mass Ion Calculations'!$E5)/2-'Mass Ion Calculations'!$D$5)))</f>
        <v>-414.11783500000001</v>
      </c>
      <c r="J4" s="3">
        <f>IF(OR($B4="",J$3=""),"",IF('Mass Ion Calculations'!$D$6="Yes",IF('Mass Ion Calculations'!$D$7="Yes",('Mass Ion Calculations'!$D$18+'AA Exact Masses'!$Q$3+'AA Exact Masses'!$Q$2-'Mass Ion Calculations'!$C$12-'Mass Ion Calculations'!$C5)/2-'Mass Ion Calculations'!$D$5,('Mass Ion Calculations'!$F$18+'AA Exact Masses'!$Q$3+'AA Exact Masses'!$Q$2-'Mass Ion Calculations'!$E$12-'Mass Ion Calculations'!$E5)/2-'Mass Ion Calculations'!$D$5),IF('Mass Ion Calculations'!$D$7="Yes", ('Mass Ion Calculations'!$D$15+'AA Exact Masses'!$Q$3+'AA Exact Masses'!$Q$2-'Mass Ion Calculations'!$C$12-'Mass Ion Calculations'!$C5)/2-'Mass Ion Calculations'!$D$5,('Mass Ion Calculations'!$F$15+'AA Exact Masses'!$Q$3+'AA Exact Masses'!$Q$2-'Mass Ion Calculations'!$E$12-'Mass Ion Calculations'!$E5)/2-'Mass Ion Calculations'!$D$5)))</f>
        <v>-406.61238000000003</v>
      </c>
      <c r="K4" s="3">
        <f>IF(OR($B4="",K$3=""),"",IF('Mass Ion Calculations'!$D$6="Yes",IF('Mass Ion Calculations'!$D$7="Yes",('Mass Ion Calculations'!$D$18+'AA Exact Masses'!$Q$3+'AA Exact Masses'!$Q$2-'Mass Ion Calculations'!$C$13-'Mass Ion Calculations'!$C5)/2-'Mass Ion Calculations'!$D$5,('Mass Ion Calculations'!$F$18+'AA Exact Masses'!$Q$3+'AA Exact Masses'!$Q$2-'Mass Ion Calculations'!$E$14-'Mass Ion Calculations'!$E5)/2-'Mass Ion Calculations'!$D$5),IF('Mass Ion Calculations'!$D$7="Yes", ('Mass Ion Calculations'!$D$15+'AA Exact Masses'!$Q$3+'AA Exact Masses'!$Q$2-'Mass Ion Calculations'!$C$13-'Mass Ion Calculations'!$C5)/2-'Mass Ion Calculations'!$D$5,('Mass Ion Calculations'!$F$15+'AA Exact Masses'!$Q$3+'AA Exact Masses'!$Q$2-'Mass Ion Calculations'!$E$14-'Mass Ion Calculations'!$E5)/2-'Mass Ion Calculations'!$D$5)))</f>
        <v>-421.59947</v>
      </c>
      <c r="L4" s="3">
        <f>IF(OR($B4="",L$3=""),"",IF('Mass Ion Calculations'!$D$6="Yes",IF('Mass Ion Calculations'!$D$7="Yes",('Mass Ion Calculations'!$D$18+'AA Exact Masses'!$Q$3+'AA Exact Masses'!$Q$2-'Mass Ion Calculations'!$C$14-'Mass Ion Calculations'!$C5)/2-'Mass Ion Calculations'!$D$5,('Mass Ion Calculations'!$F$18+'AA Exact Masses'!$Q$3+'AA Exact Masses'!$Q$2-'Mass Ion Calculations'!$E$15-'Mass Ion Calculations'!$E5)/2-'Mass Ion Calculations'!$D$5),IF('Mass Ion Calculations'!$D$7="Yes", ('Mass Ion Calculations'!$D$15+'AA Exact Masses'!$Q$3+'AA Exact Masses'!$Q$2-'Mass Ion Calculations'!$C$14-'Mass Ion Calculations'!$C5)/2-'Mass Ion Calculations'!$D$5,('Mass Ion Calculations'!$F$15+'AA Exact Masses'!$Q$3+'AA Exact Masses'!$Q$2-'Mass Ion Calculations'!$E$15-'Mass Ion Calculations'!$E5)/2-'Mass Ion Calculations'!$D$5)))</f>
        <v>-414.59164499999997</v>
      </c>
      <c r="M4" s="3">
        <f>IF(OR($B4="",M$3=""),"",IF('Mass Ion Calculations'!$D$6="Yes",IF('Mass Ion Calculations'!$D$7="Yes",('Mass Ion Calculations'!$D$18+'AA Exact Masses'!$Q$3+'AA Exact Masses'!$Q$2-'Mass Ion Calculations'!$C$15-'Mass Ion Calculations'!$C5)/2-'Mass Ion Calculations'!$D$5,('Mass Ion Calculations'!$F$18+'AA Exact Masses'!$Q$3+'AA Exact Masses'!$Q$2-'Mass Ion Calculations'!$E$16-'Mass Ion Calculations'!$E5)/2-'Mass Ion Calculations'!$D$5),IF('Mass Ion Calculations'!$D$7="Yes", ('Mass Ion Calculations'!$D$15+'AA Exact Masses'!$Q$3+'AA Exact Masses'!$Q$2-'Mass Ion Calculations'!$C$15-'Mass Ion Calculations'!$C5)/2-'Mass Ion Calculations'!$D$5,('Mass Ion Calculations'!$F$15+'AA Exact Masses'!$Q$3+'AA Exact Masses'!$Q$2-'Mass Ion Calculations'!$E$16-'Mass Ion Calculations'!$E5)/2-'Mass Ion Calculations'!$D$5)))</f>
        <v>-392.59672999999998</v>
      </c>
      <c r="N4" s="3">
        <f>IF(OR($B4="",N$3=""),"",IF('Mass Ion Calculations'!$D$6="Yes",IF('Mass Ion Calculations'!$D$7="Yes",('Mass Ion Calculations'!$D$18+'AA Exact Masses'!$Q$3+'AA Exact Masses'!$Q$2-'Mass Ion Calculations'!$C$16-'Mass Ion Calculations'!$C5)/2-'Mass Ion Calculations'!$D$5,('Mass Ion Calculations'!$F$18+'AA Exact Masses'!$Q$3+'AA Exact Masses'!$Q$2-'Mass Ion Calculations'!$E$17-'Mass Ion Calculations'!$E5)/2-'Mass Ion Calculations'!$D$5),IF('Mass Ion Calculations'!$D$7="Yes", ('Mass Ion Calculations'!$D$15+'AA Exact Masses'!$Q$3+'AA Exact Masses'!$Q$2-'Mass Ion Calculations'!$C$16-'Mass Ion Calculations'!$C5)/2-'Mass Ion Calculations'!$D$5,('Mass Ion Calculations'!$F$15+'AA Exact Masses'!$Q$3+'AA Exact Masses'!$Q$2-'Mass Ion Calculations'!$E$17-'Mass Ion Calculations'!$E5)/2-'Mass Ion Calculations'!$D$5)))</f>
        <v>-430.61238000000003</v>
      </c>
      <c r="O4" s="3">
        <f>IF(OR($B4="",O$3=""),"",IF('Mass Ion Calculations'!$D$6="Yes",IF('Mass Ion Calculations'!$D$7="Yes",('Mass Ion Calculations'!$D$18+'AA Exact Masses'!$Q$3+'AA Exact Masses'!$Q$2-'Mass Ion Calculations'!$C$17-'Mass Ion Calculations'!$C5)/2-'Mass Ion Calculations'!$D$5,('Mass Ion Calculations'!$F$18+'AA Exact Masses'!$Q$3+'AA Exact Masses'!$Q$2-'Mass Ion Calculations'!$E$18-'Mass Ion Calculations'!$E5)/2-'Mass Ion Calculations'!$D$5),IF('Mass Ion Calculations'!$D$7="Yes", ('Mass Ion Calculations'!$D$15+'AA Exact Masses'!$Q$3+'AA Exact Masses'!$Q$2-'Mass Ion Calculations'!$C$17-'Mass Ion Calculations'!$C5)/2-'Mass Ion Calculations'!$D$5,('Mass Ion Calculations'!$F$15+'AA Exact Masses'!$Q$3+'AA Exact Masses'!$Q$2-'Mass Ion Calculations'!$E$18-'Mass Ion Calculations'!$E5)/2-'Mass Ion Calculations'!$D$5)))</f>
        <v>-493.56070499999998</v>
      </c>
      <c r="P4" s="3">
        <f>IF(OR($B4="",P$3=""),"",IF('Mass Ion Calculations'!$D$6="Yes",IF('Mass Ion Calculations'!$D$7="Yes",('Mass Ion Calculations'!$D$18+'AA Exact Masses'!$Q$3+'AA Exact Masses'!$Q$2-'Mass Ion Calculations'!$C$19-'Mass Ion Calculations'!$C5)/2-'Mass Ion Calculations'!$D$5,('Mass Ion Calculations'!$F$18+'AA Exact Masses'!$Q$3+'AA Exact Masses'!$Q$2-'Mass Ion Calculations'!$E$19-'Mass Ion Calculations'!$E5)/2-'Mass Ion Calculations'!$D$5),IF('Mass Ion Calculations'!$D$7="Yes", ('Mass Ion Calculations'!$D$15+'AA Exact Masses'!$Q$3+'AA Exact Masses'!$Q$2-'Mass Ion Calculations'!$C$19-'Mass Ion Calculations'!$C5)/2-'Mass Ion Calculations'!$D$5,('Mass Ion Calculations'!$F$15+'AA Exact Masses'!$Q$3+'AA Exact Masses'!$Q$2-'Mass Ion Calculations'!$E$19-'Mass Ion Calculations'!$E5)/2-'Mass Ion Calculations'!$D$5)))</f>
        <v>-406.61238000000003</v>
      </c>
      <c r="Q4" s="3">
        <f>IF(OR($B4="",Q$3=""),"",IF('Mass Ion Calculations'!$D$6="Yes",IF('Mass Ion Calculations'!$D$7="Yes",('Mass Ion Calculations'!$D$18+'AA Exact Masses'!$Q$3+'AA Exact Masses'!$Q$2-'Mass Ion Calculations'!$C$20-'Mass Ion Calculations'!$C5)/2-'Mass Ion Calculations'!$D$5,('Mass Ion Calculations'!$F$18+'AA Exact Masses'!$Q$3+'AA Exact Masses'!$Q$2-'Mass Ion Calculations'!$E$20-'Mass Ion Calculations'!$E5)/2-'Mass Ion Calculations'!$D$5),IF('Mass Ion Calculations'!$D$7="Yes", ('Mass Ion Calculations'!$D$15+'AA Exact Masses'!$Q$3+'AA Exact Masses'!$Q$2-'Mass Ion Calculations'!$C$20-'Mass Ion Calculations'!$C5)/2-'Mass Ion Calculations'!$D$5,('Mass Ion Calculations'!$F$15+'AA Exact Masses'!$Q$3+'AA Exact Masses'!$Q$2-'Mass Ion Calculations'!$E$20-'Mass Ion Calculations'!$E5)/2-'Mass Ion Calculations'!$D$5)))</f>
        <v>-413.62020499999994</v>
      </c>
      <c r="R4" s="3" t="e">
        <f>IF(OR($B4="",R$3=""),"",IF('Mass Ion Calculations'!$D$6="Yes",IF('Mass Ion Calculations'!$D$7="Yes",('Mass Ion Calculations'!$D$18+'AA Exact Masses'!$Q$3+'AA Exact Masses'!$Q$2-'Mass Ion Calculations'!$C$21-'Mass Ion Calculations'!$C5)/2-'Mass Ion Calculations'!$D$5,('Mass Ion Calculations'!$F$18+'AA Exact Masses'!$Q$3+'AA Exact Masses'!$Q$2-'Mass Ion Calculations'!$E$21-'Mass Ion Calculations'!$E5)/2-'Mass Ion Calculations'!$D$5),IF('Mass Ion Calculations'!$D$7="Yes", ('Mass Ion Calculations'!$D$15+'AA Exact Masses'!$Q$3+'AA Exact Masses'!$Q$2-'Mass Ion Calculations'!$C$21-'Mass Ion Calculations'!$C5)/2-'Mass Ion Calculations'!$D$5,('Mass Ion Calculations'!$F$15+'AA Exact Masses'!$Q$3+'AA Exact Masses'!$Q$2-'Mass Ion Calculations'!$E$21-'Mass Ion Calculations'!$E5)/2-'Mass Ion Calculations'!$D$5)))</f>
        <v>#VALUE!</v>
      </c>
      <c r="S4" s="3" t="str">
        <f>IF(OR($B4="",S$3=""),"",IF('Mass Ion Calculations'!$D$6="Yes",IF('Mass Ion Calculations'!$D$7="Yes",('Mass Ion Calculations'!$D$18+'AA Exact Masses'!$Q$3+'AA Exact Masses'!$Q$2-'Mass Ion Calculations'!$C$22-'Mass Ion Calculations'!$C5)/2-'Mass Ion Calculations'!$D$5,('Mass Ion Calculations'!$F$18+'AA Exact Masses'!$Q$3+'AA Exact Masses'!$Q$2-'Mass Ion Calculations'!$E$22-'Mass Ion Calculations'!$E5)/2-'Mass Ion Calculations'!$D$5),IF('Mass Ion Calculations'!$D$7="Yes", ('Mass Ion Calculations'!$D$15+'AA Exact Masses'!$Q$3+'AA Exact Masses'!$Q$2-'Mass Ion Calculations'!$C$22-'Mass Ion Calculations'!$C5)/2-'Mass Ion Calculations'!$D$5,('Mass Ion Calculations'!$F$15+'AA Exact Masses'!$Q$3+'AA Exact Masses'!$Q$2-'Mass Ion Calculations'!$E$22-'Mass Ion Calculations'!$E5)/2-'Mass Ion Calculations'!$D$5)))</f>
        <v/>
      </c>
      <c r="T4" s="3" t="e">
        <f>IF(OR($B4="",T$3=""),"",IF('Mass Ion Calculations'!$D$6="Yes",IF('Mass Ion Calculations'!$D$7="Yes",('Mass Ion Calculations'!$D$18+'AA Exact Masses'!$Q$3+'AA Exact Masses'!$Q$2-'Mass Ion Calculations'!$C$22-'Mass Ion Calculations'!$C5)/2-'Mass Ion Calculations'!$D$5,('Mass Ion Calculations'!$F$18+'AA Exact Masses'!$Q$3+'AA Exact Masses'!$Q$2-'Mass Ion Calculations'!$E$22-'Mass Ion Calculations'!$E5)/2-'Mass Ion Calculations'!$D$5),IF('Mass Ion Calculations'!$D$7="Yes", ('Mass Ion Calculations'!$D$15+'AA Exact Masses'!$Q$3+'AA Exact Masses'!$Q$2-'Mass Ion Calculations'!$C$22-'Mass Ion Calculations'!$C5)/2-'Mass Ion Calculations'!$D$5,('Mass Ion Calculations'!$F$15+'AA Exact Masses'!$Q$3+'AA Exact Masses'!$Q$2-'Mass Ion Calculations'!$E$22-'Mass Ion Calculations'!$E5)/2-'Mass Ion Calculations'!$D$5)))</f>
        <v>#VALUE!</v>
      </c>
      <c r="U4" s="3" t="e">
        <f>IF(OR($B4="",U$3=""),"",IF('Mass Ion Calculations'!$D$6="Yes",IF('Mass Ion Calculations'!$D$7="Yes",('Mass Ion Calculations'!$D$18+'AA Exact Masses'!$Q$3+'AA Exact Masses'!$Q$2-'Mass Ion Calculations'!$C$23-'Mass Ion Calculations'!$C5)/2-'Mass Ion Calculations'!$D$5,('Mass Ion Calculations'!$F$18+'AA Exact Masses'!$Q$3+'AA Exact Masses'!$Q$2-'Mass Ion Calculations'!$E$23-'Mass Ion Calculations'!$E5)/2-'Mass Ion Calculations'!$D$5),IF('Mass Ion Calculations'!$D$7="Yes", ('Mass Ion Calculations'!$D$15+'AA Exact Masses'!$Q$3+'AA Exact Masses'!$Q$2-'Mass Ion Calculations'!$C$23-'Mass Ion Calculations'!$C5)/2-'Mass Ion Calculations'!$D$5,('Mass Ion Calculations'!$F$15+'AA Exact Masses'!$Q$3+'AA Exact Masses'!$Q$2-'Mass Ion Calculations'!$E$23-'Mass Ion Calculations'!$E5)/2-'Mass Ion Calculations'!$D$5)))</f>
        <v>#VALUE!</v>
      </c>
      <c r="V4" s="3" t="str">
        <f>IF(OR($B4="",V$3=""),"",IF('Mass Ion Calculations'!$D$6="Yes",IF('Mass Ion Calculations'!$D$7="Yes",('Mass Ion Calculations'!$D$18+'AA Exact Masses'!$Q$3+'AA Exact Masses'!$Q$2-'Mass Ion Calculations'!$C$24-'Mass Ion Calculations'!$C5)/2-'Mass Ion Calculations'!$D$5,('Mass Ion Calculations'!$F$18+'AA Exact Masses'!$Q$3+'AA Exact Masses'!$Q$2-'Mass Ion Calculations'!$E$24-'Mass Ion Calculations'!$E5)/2-'Mass Ion Calculations'!$D$5),IF('Mass Ion Calculations'!$D$7="Yes", ('Mass Ion Calculations'!$D$15+'AA Exact Masses'!$Q$3+'AA Exact Masses'!$Q$2-'Mass Ion Calculations'!$C$24-'Mass Ion Calculations'!$C5)/2-'Mass Ion Calculations'!$D$5,('Mass Ion Calculations'!$F$15+'AA Exact Masses'!$Q$3+'AA Exact Masses'!$Q$2-'Mass Ion Calculations'!$E$24-'Mass Ion Calculations'!$E5)/2-'Mass Ion Calculations'!$D$5)))</f>
        <v/>
      </c>
      <c r="W4" s="3" t="str">
        <f>IF(OR($B4="",W$3=""),"",IF('Mass Ion Calculations'!$D$6="Yes",IF('Mass Ion Calculations'!$D$7="Yes",('Mass Ion Calculations'!$D$18+'AA Exact Masses'!$Q$3+'AA Exact Masses'!$Q$2-'Mass Ion Calculations'!$C$25-'Mass Ion Calculations'!$C5)/2-'Mass Ion Calculations'!$D$5,('Mass Ion Calculations'!$F$18+'AA Exact Masses'!$Q$3+'AA Exact Masses'!$Q$2-'Mass Ion Calculations'!$E$25-'Mass Ion Calculations'!$E5)/2-'Mass Ion Calculations'!$D$5),IF('Mass Ion Calculations'!$D$7="Yes", ('Mass Ion Calculations'!$D$15+'AA Exact Masses'!$Q$3+'AA Exact Masses'!$Q$2-'Mass Ion Calculations'!$C$25-'Mass Ion Calculations'!$C5)/2-'Mass Ion Calculations'!$D$5,('Mass Ion Calculations'!$F$15+'AA Exact Masses'!$Q$3+'AA Exact Masses'!$Q$2-'Mass Ion Calculations'!$E$25-'Mass Ion Calculations'!$E5)/2-'Mass Ion Calculations'!$D$5)))</f>
        <v/>
      </c>
      <c r="X4" s="3" t="str">
        <f>IF(OR($B4="",X$3=""),"",IF('Mass Ion Calculations'!$D$6="Yes",IF('Mass Ion Calculations'!$D$7="Yes",('Mass Ion Calculations'!$D$18+'AA Exact Masses'!$Q$3+'AA Exact Masses'!$Q$2-'Mass Ion Calculations'!$C$26-'Mass Ion Calculations'!$C5)/2-'Mass Ion Calculations'!$D$5,('Mass Ion Calculations'!$F$18+'AA Exact Masses'!$Q$3+'AA Exact Masses'!$Q$2-'Mass Ion Calculations'!$E$26-'Mass Ion Calculations'!$E5)/2-'Mass Ion Calculations'!$D$5),IF('Mass Ion Calculations'!$D$7="Yes", ('Mass Ion Calculations'!$D$15+'AA Exact Masses'!$Q$3+'AA Exact Masses'!$Q$2-'Mass Ion Calculations'!$C$26-'Mass Ion Calculations'!$C5)/2-'Mass Ion Calculations'!$D$5,('Mass Ion Calculations'!$F$15+'AA Exact Masses'!$Q$3+'AA Exact Masses'!$Q$2-'Mass Ion Calculations'!$E$26-'Mass Ion Calculations'!$E5)/2-'Mass Ion Calculations'!$D$5)))</f>
        <v/>
      </c>
      <c r="Y4" s="3" t="str">
        <f>IF(OR($B4="",Y$3=""),"",IF('Mass Ion Calculations'!$D$6="Yes",IF('Mass Ion Calculations'!$D$7="Yes",('Mass Ion Calculations'!$D$18+'AA Exact Masses'!$Q$3+'AA Exact Masses'!$Q$2-'Mass Ion Calculations'!$C$27-'Mass Ion Calculations'!$C5)/2-'Mass Ion Calculations'!$D$5,('Mass Ion Calculations'!$F$18+'AA Exact Masses'!$Q$3+'AA Exact Masses'!$Q$2-'Mass Ion Calculations'!$E$27-'Mass Ion Calculations'!$E5)/2-'Mass Ion Calculations'!$D$5),IF('Mass Ion Calculations'!$D$7="Yes", ('Mass Ion Calculations'!$D$15+'AA Exact Masses'!$Q$3+'AA Exact Masses'!$Q$2-'Mass Ion Calculations'!$C$27-'Mass Ion Calculations'!$C5)/2-'Mass Ion Calculations'!$D$5,('Mass Ion Calculations'!$F$15+'AA Exact Masses'!$Q$3+'AA Exact Masses'!$Q$2-'Mass Ion Calculations'!$E$27-'Mass Ion Calculations'!$E5)/2-'Mass Ion Calculations'!$D$5)))</f>
        <v/>
      </c>
      <c r="Z4" s="3" t="str">
        <f>IF(OR($B4="",Z$3=""),"",IF('Mass Ion Calculations'!$D$6="Yes",IF('Mass Ion Calculations'!$D$7="Yes",('Mass Ion Calculations'!$D$18+'AA Exact Masses'!$Q$3+'AA Exact Masses'!$Q$2-'Mass Ion Calculations'!$C$28-'Mass Ion Calculations'!$C5)/2-'Mass Ion Calculations'!$D$5,('Mass Ion Calculations'!$F$18+'AA Exact Masses'!$Q$3+'AA Exact Masses'!$Q$2-'Mass Ion Calculations'!$E$28-'Mass Ion Calculations'!$E5)/2-'Mass Ion Calculations'!$D$5),IF('Mass Ion Calculations'!$D$7="Yes", ('Mass Ion Calculations'!$D$15+'AA Exact Masses'!$Q$3+'AA Exact Masses'!$Q$2-'Mass Ion Calculations'!$C$28-'Mass Ion Calculations'!$C5)/2-'Mass Ion Calculations'!$D$5,('Mass Ion Calculations'!$F$15+'AA Exact Masses'!$Q$3+'AA Exact Masses'!$Q$2-'Mass Ion Calculations'!$E$28-'Mass Ion Calculations'!$E5)/2-'Mass Ion Calculations'!$D$5)))</f>
        <v/>
      </c>
    </row>
    <row r="5" spans="2:26" x14ac:dyDescent="0.25">
      <c r="B5" s="4" t="str">
        <f>IF('Mass Ion Calculations'!B6="","", 'Mass Ion Calculations'!B6)</f>
        <v>Ala</v>
      </c>
      <c r="C5" s="3">
        <f>IF(OR($B5="",C$3=""),"",IF('Mass Ion Calculations'!$D$6="Yes",IF('Mass Ion Calculations'!$D$7="Yes",('Mass Ion Calculations'!$D$18+'AA Exact Masses'!$Q$3+'AA Exact Masses'!$Q$2-'Mass Ion Calculations'!$C$5-'Mass Ion Calculations'!$C6)/2-'Mass Ion Calculations'!$D$5,('Mass Ion Calculations'!$F$18+'AA Exact Masses'!$Q$3+'AA Exact Masses'!$Q$2-'Mass Ion Calculations'!$E$5-'Mass Ion Calculations'!$E6)/2-'Mass Ion Calculations'!$D$5),IF('Mass Ion Calculations'!$D$7="Yes", ('Mass Ion Calculations'!$D$15+'AA Exact Masses'!$Q$3+'AA Exact Masses'!$Q$2-'Mass Ion Calculations'!$C$5-'Mass Ion Calculations'!$C6)/2-'Mass Ion Calculations'!$D$5,('Mass Ion Calculations'!$F$15+'AA Exact Masses'!$Q$3+'AA Exact Masses'!$Q$2-'Mass Ion Calculations'!$E$5-'Mass Ion Calculations'!$E6)/2-'Mass Ion Calculations'!$D$5)))</f>
        <v>-392.59672999999998</v>
      </c>
      <c r="D5" s="3">
        <f>IF(OR($B5="",D$3=""),"",IF('Mass Ion Calculations'!$D$6="Yes",IF('Mass Ion Calculations'!$D$7="Yes",('Mass Ion Calculations'!$D$18+'AA Exact Masses'!$Q$3+'AA Exact Masses'!$Q$2-'Mass Ion Calculations'!$C$6-'Mass Ion Calculations'!$C6)/2-'Mass Ion Calculations'!$D$5,('Mass Ion Calculations'!$F$18+'AA Exact Masses'!$Q$3+'AA Exact Masses'!$Q$2-'Mass Ion Calculations'!$E$6-'Mass Ion Calculations'!$E6)/2-'Mass Ion Calculations'!$D$5),IF('Mass Ion Calculations'!$D$7="Yes", ('Mass Ion Calculations'!$D$15+'AA Exact Masses'!$Q$3+'AA Exact Masses'!$Q$2-'Mass Ion Calculations'!$C$6-'Mass Ion Calculations'!$C6)/2-'Mass Ion Calculations'!$D$5,('Mass Ion Calculations'!$F$15+'AA Exact Masses'!$Q$3+'AA Exact Masses'!$Q$2-'Mass Ion Calculations'!$E$6-'Mass Ion Calculations'!$E6)/2-'Mass Ion Calculations'!$D$5)))</f>
        <v>-371.07562499999995</v>
      </c>
      <c r="E5" s="3">
        <f>IF(OR($B5="",E$3=""),"",IF('Mass Ion Calculations'!$D$6="Yes",IF('Mass Ion Calculations'!$D$7="Yes",('Mass Ion Calculations'!$D$18+'AA Exact Masses'!$Q$3+'AA Exact Masses'!$Q$2-'Mass Ion Calculations'!$C$7-'Mass Ion Calculations'!$C6)/2-'Mass Ion Calculations'!$D$5,('Mass Ion Calculations'!$F$18+'AA Exact Masses'!$Q$3+'AA Exact Masses'!$Q$2-'Mass Ion Calculations'!$E$7-'Mass Ion Calculations'!$E6)/2-'Mass Ion Calculations'!$D$5),IF('Mass Ion Calculations'!$D$7="Yes", ('Mass Ion Calculations'!$D$15+'AA Exact Masses'!$Q$3+'AA Exact Masses'!$Q$2-'Mass Ion Calculations'!$C$7-'Mass Ion Calculations'!$C6)/2-'Mass Ion Calculations'!$D$5,('Mass Ion Calculations'!$F$15+'AA Exact Masses'!$Q$3+'AA Exact Masses'!$Q$2-'Mass Ion Calculations'!$E$7-'Mass Ion Calculations'!$E6)/2-'Mass Ion Calculations'!$D$5)))</f>
        <v>-392.09909999999991</v>
      </c>
      <c r="F5" s="3">
        <f>IF(OR($B5="",F$3=""),"",IF('Mass Ion Calculations'!$D$6="Yes",IF('Mass Ion Calculations'!$D$7="Yes",('Mass Ion Calculations'!$D$18+'AA Exact Masses'!$Q$3+'AA Exact Masses'!$Q$2-'Mass Ion Calculations'!$C$8-'Mass Ion Calculations'!$C6)/2-'Mass Ion Calculations'!$D$5,('Mass Ion Calculations'!$F$18+'AA Exact Masses'!$Q$3+'AA Exact Masses'!$Q$2-'Mass Ion Calculations'!$E$8-'Mass Ion Calculations'!$E6)/2-'Mass Ion Calculations'!$D$5),IF('Mass Ion Calculations'!$D$7="Yes", ('Mass Ion Calculations'!$D$15+'AA Exact Masses'!$Q$3+'AA Exact Masses'!$Q$2-'Mass Ion Calculations'!$C$8-'Mass Ion Calculations'!$C6)/2-'Mass Ion Calculations'!$D$5,('Mass Ion Calculations'!$F$15+'AA Exact Masses'!$Q$3+'AA Exact Masses'!$Q$2-'Mass Ion Calculations'!$E$8-'Mass Ion Calculations'!$E6)/2-'Mass Ion Calculations'!$D$5)))</f>
        <v>-392.09909999999991</v>
      </c>
      <c r="G5" s="3">
        <f>IF(OR($B5="",G$3=""),"",IF('Mass Ion Calculations'!$D$6="Yes",IF('Mass Ion Calculations'!$D$7="Yes",('Mass Ion Calculations'!$D$18+'AA Exact Masses'!$Q$3+'AA Exact Masses'!$Q$2-'Mass Ion Calculations'!$C$9-'Mass Ion Calculations'!$C6)/2-'Mass Ion Calculations'!$D$5,('Mass Ion Calculations'!$F$18+'AA Exact Masses'!$Q$3+'AA Exact Masses'!$Q$2-'Mass Ion Calculations'!$E$9-'Mass Ion Calculations'!$E6)/2-'Mass Ion Calculations'!$D$5),IF('Mass Ion Calculations'!$D$7="Yes", ('Mass Ion Calculations'!$D$15+'AA Exact Masses'!$Q$3+'AA Exact Masses'!$Q$2-'Mass Ion Calculations'!$C$9-'Mass Ion Calculations'!$C6)/2-'Mass Ion Calculations'!$D$5,('Mass Ion Calculations'!$F$15+'AA Exact Masses'!$Q$3+'AA Exact Masses'!$Q$2-'Mass Ion Calculations'!$E$9-'Mass Ion Calculations'!$E6)/2-'Mass Ion Calculations'!$D$5)))</f>
        <v>-371.07562499999995</v>
      </c>
      <c r="H5" s="3">
        <f>IF(OR($B5="",H$3=""),"",IF('Mass Ion Calculations'!$D$6="Yes",IF('Mass Ion Calculations'!$D$7="Yes",('Mass Ion Calculations'!$D$18+'AA Exact Masses'!$Q$3+'AA Exact Masses'!$Q$2-'Mass Ion Calculations'!$C$10-'Mass Ion Calculations'!$C6)/2-'Mass Ion Calculations'!$D$5,('Mass Ion Calculations'!$F$18+'AA Exact Masses'!$Q$3+'AA Exact Masses'!$Q$2-'Mass Ion Calculations'!$E$10-'Mass Ion Calculations'!$E6)/2-'Mass Ion Calculations'!$D$5),IF('Mass Ion Calculations'!$D$7="Yes", ('Mass Ion Calculations'!$D$15+'AA Exact Masses'!$Q$3+'AA Exact Masses'!$Q$2-'Mass Ion Calculations'!$C$10-'Mass Ion Calculations'!$C6)/2-'Mass Ion Calculations'!$D$5,('Mass Ion Calculations'!$F$15+'AA Exact Masses'!$Q$3+'AA Exact Masses'!$Q$2-'Mass Ion Calculations'!$E$10-'Mass Ion Calculations'!$E6)/2-'Mass Ion Calculations'!$D$5)))</f>
        <v>-392.09909999999991</v>
      </c>
      <c r="I5" s="3">
        <f>IF(OR($B5="",I$3=""),"",IF('Mass Ion Calculations'!$D$6="Yes",IF('Mass Ion Calculations'!$D$7="Yes",('Mass Ion Calculations'!$D$18+'AA Exact Masses'!$Q$3+'AA Exact Masses'!$Q$2-'Mass Ion Calculations'!$C$11-'Mass Ion Calculations'!$C6)/2-'Mass Ion Calculations'!$D$5,('Mass Ion Calculations'!$F$18+'AA Exact Masses'!$Q$3+'AA Exact Masses'!$Q$2-'Mass Ion Calculations'!$E$11-'Mass Ion Calculations'!$E6)/2-'Mass Ion Calculations'!$D$5),IF('Mass Ion Calculations'!$D$7="Yes", ('Mass Ion Calculations'!$D$15+'AA Exact Masses'!$Q$3+'AA Exact Masses'!$Q$2-'Mass Ion Calculations'!$C$11-'Mass Ion Calculations'!$C6)/2-'Mass Ion Calculations'!$D$5,('Mass Ion Calculations'!$F$15+'AA Exact Masses'!$Q$3+'AA Exact Masses'!$Q$2-'Mass Ion Calculations'!$E$11-'Mass Ion Calculations'!$E6)/2-'Mass Ion Calculations'!$D$5)))</f>
        <v>-392.59672999999998</v>
      </c>
      <c r="J5" s="3">
        <f>IF(OR($B5="",J$3=""),"",IF('Mass Ion Calculations'!$D$6="Yes",IF('Mass Ion Calculations'!$D$7="Yes",('Mass Ion Calculations'!$D$18+'AA Exact Masses'!$Q$3+'AA Exact Masses'!$Q$2-'Mass Ion Calculations'!$C$12-'Mass Ion Calculations'!$C6)/2-'Mass Ion Calculations'!$D$5,('Mass Ion Calculations'!$F$18+'AA Exact Masses'!$Q$3+'AA Exact Masses'!$Q$2-'Mass Ion Calculations'!$E$12-'Mass Ion Calculations'!$E6)/2-'Mass Ion Calculations'!$D$5),IF('Mass Ion Calculations'!$D$7="Yes", ('Mass Ion Calculations'!$D$15+'AA Exact Masses'!$Q$3+'AA Exact Masses'!$Q$2-'Mass Ion Calculations'!$C$12-'Mass Ion Calculations'!$C6)/2-'Mass Ion Calculations'!$D$5,('Mass Ion Calculations'!$F$15+'AA Exact Masses'!$Q$3+'AA Exact Masses'!$Q$2-'Mass Ion Calculations'!$E$12-'Mass Ion Calculations'!$E6)/2-'Mass Ion Calculations'!$D$5)))</f>
        <v>-385.091275</v>
      </c>
      <c r="K5" s="3">
        <f>IF(OR($B5="",K$3=""),"",IF('Mass Ion Calculations'!$D$6="Yes",IF('Mass Ion Calculations'!$D$7="Yes",('Mass Ion Calculations'!$D$18+'AA Exact Masses'!$Q$3+'AA Exact Masses'!$Q$2-'Mass Ion Calculations'!$C$13-'Mass Ion Calculations'!$C6)/2-'Mass Ion Calculations'!$D$5,('Mass Ion Calculations'!$F$18+'AA Exact Masses'!$Q$3+'AA Exact Masses'!$Q$2-'Mass Ion Calculations'!$E$14-'Mass Ion Calculations'!$E6)/2-'Mass Ion Calculations'!$D$5),IF('Mass Ion Calculations'!$D$7="Yes", ('Mass Ion Calculations'!$D$15+'AA Exact Masses'!$Q$3+'AA Exact Masses'!$Q$2-'Mass Ion Calculations'!$C$13-'Mass Ion Calculations'!$C6)/2-'Mass Ion Calculations'!$D$5,('Mass Ion Calculations'!$F$15+'AA Exact Masses'!$Q$3+'AA Exact Masses'!$Q$2-'Mass Ion Calculations'!$E$14-'Mass Ion Calculations'!$E6)/2-'Mass Ion Calculations'!$D$5)))</f>
        <v>-400.07836499999996</v>
      </c>
      <c r="L5" s="3">
        <f>IF(OR($B5="",L$3=""),"",IF('Mass Ion Calculations'!$D$6="Yes",IF('Mass Ion Calculations'!$D$7="Yes",('Mass Ion Calculations'!$D$18+'AA Exact Masses'!$Q$3+'AA Exact Masses'!$Q$2-'Mass Ion Calculations'!$C$14-'Mass Ion Calculations'!$C6)/2-'Mass Ion Calculations'!$D$5,('Mass Ion Calculations'!$F$18+'AA Exact Masses'!$Q$3+'AA Exact Masses'!$Q$2-'Mass Ion Calculations'!$E$15-'Mass Ion Calculations'!$E6)/2-'Mass Ion Calculations'!$D$5),IF('Mass Ion Calculations'!$D$7="Yes", ('Mass Ion Calculations'!$D$15+'AA Exact Masses'!$Q$3+'AA Exact Masses'!$Q$2-'Mass Ion Calculations'!$C$14-'Mass Ion Calculations'!$C6)/2-'Mass Ion Calculations'!$D$5,('Mass Ion Calculations'!$F$15+'AA Exact Masses'!$Q$3+'AA Exact Masses'!$Q$2-'Mass Ion Calculations'!$E$15-'Mass Ion Calculations'!$E6)/2-'Mass Ion Calculations'!$D$5)))</f>
        <v>-393.07053999999994</v>
      </c>
      <c r="M5" s="3">
        <f>IF(OR($B5="",M$3=""),"",IF('Mass Ion Calculations'!$D$6="Yes",IF('Mass Ion Calculations'!$D$7="Yes",('Mass Ion Calculations'!$D$18+'AA Exact Masses'!$Q$3+'AA Exact Masses'!$Q$2-'Mass Ion Calculations'!$C$15-'Mass Ion Calculations'!$C6)/2-'Mass Ion Calculations'!$D$5,('Mass Ion Calculations'!$F$18+'AA Exact Masses'!$Q$3+'AA Exact Masses'!$Q$2-'Mass Ion Calculations'!$E$16-'Mass Ion Calculations'!$E6)/2-'Mass Ion Calculations'!$D$5),IF('Mass Ion Calculations'!$D$7="Yes", ('Mass Ion Calculations'!$D$15+'AA Exact Masses'!$Q$3+'AA Exact Masses'!$Q$2-'Mass Ion Calculations'!$C$15-'Mass Ion Calculations'!$C6)/2-'Mass Ion Calculations'!$D$5,('Mass Ion Calculations'!$F$15+'AA Exact Masses'!$Q$3+'AA Exact Masses'!$Q$2-'Mass Ion Calculations'!$E$16-'Mass Ion Calculations'!$E6)/2-'Mass Ion Calculations'!$D$5)))</f>
        <v>-371.07562499999995</v>
      </c>
      <c r="N5" s="3">
        <f>IF(OR($B5="",N$3=""),"",IF('Mass Ion Calculations'!$D$6="Yes",IF('Mass Ion Calculations'!$D$7="Yes",('Mass Ion Calculations'!$D$18+'AA Exact Masses'!$Q$3+'AA Exact Masses'!$Q$2-'Mass Ion Calculations'!$C$16-'Mass Ion Calculations'!$C6)/2-'Mass Ion Calculations'!$D$5,('Mass Ion Calculations'!$F$18+'AA Exact Masses'!$Q$3+'AA Exact Masses'!$Q$2-'Mass Ion Calculations'!$E$17-'Mass Ion Calculations'!$E6)/2-'Mass Ion Calculations'!$D$5),IF('Mass Ion Calculations'!$D$7="Yes", ('Mass Ion Calculations'!$D$15+'AA Exact Masses'!$Q$3+'AA Exact Masses'!$Q$2-'Mass Ion Calculations'!$C$16-'Mass Ion Calculations'!$C6)/2-'Mass Ion Calculations'!$D$5,('Mass Ion Calculations'!$F$15+'AA Exact Masses'!$Q$3+'AA Exact Masses'!$Q$2-'Mass Ion Calculations'!$E$17-'Mass Ion Calculations'!$E6)/2-'Mass Ion Calculations'!$D$5)))</f>
        <v>-409.091275</v>
      </c>
      <c r="O5" s="3">
        <f>IF(OR($B5="",O$3=""),"",IF('Mass Ion Calculations'!$D$6="Yes",IF('Mass Ion Calculations'!$D$7="Yes",('Mass Ion Calculations'!$D$18+'AA Exact Masses'!$Q$3+'AA Exact Masses'!$Q$2-'Mass Ion Calculations'!$C$17-'Mass Ion Calculations'!$C6)/2-'Mass Ion Calculations'!$D$5,('Mass Ion Calculations'!$F$18+'AA Exact Masses'!$Q$3+'AA Exact Masses'!$Q$2-'Mass Ion Calculations'!$E$18-'Mass Ion Calculations'!$E6)/2-'Mass Ion Calculations'!$D$5),IF('Mass Ion Calculations'!$D$7="Yes", ('Mass Ion Calculations'!$D$15+'AA Exact Masses'!$Q$3+'AA Exact Masses'!$Q$2-'Mass Ion Calculations'!$C$17-'Mass Ion Calculations'!$C6)/2-'Mass Ion Calculations'!$D$5,('Mass Ion Calculations'!$F$15+'AA Exact Masses'!$Q$3+'AA Exact Masses'!$Q$2-'Mass Ion Calculations'!$E$18-'Mass Ion Calculations'!$E6)/2-'Mass Ion Calculations'!$D$5)))</f>
        <v>-472.03959999999995</v>
      </c>
      <c r="P5" s="3">
        <f>IF(OR($B5="",P$3=""),"",IF('Mass Ion Calculations'!$D$6="Yes",IF('Mass Ion Calculations'!$D$7="Yes",('Mass Ion Calculations'!$D$18+'AA Exact Masses'!$Q$3+'AA Exact Masses'!$Q$2-'Mass Ion Calculations'!$C$19-'Mass Ion Calculations'!$C6)/2-'Mass Ion Calculations'!$D$5,('Mass Ion Calculations'!$F$18+'AA Exact Masses'!$Q$3+'AA Exact Masses'!$Q$2-'Mass Ion Calculations'!$E$19-'Mass Ion Calculations'!$E6)/2-'Mass Ion Calculations'!$D$5),IF('Mass Ion Calculations'!$D$7="Yes", ('Mass Ion Calculations'!$D$15+'AA Exact Masses'!$Q$3+'AA Exact Masses'!$Q$2-'Mass Ion Calculations'!$C$19-'Mass Ion Calculations'!$C6)/2-'Mass Ion Calculations'!$D$5,('Mass Ion Calculations'!$F$15+'AA Exact Masses'!$Q$3+'AA Exact Masses'!$Q$2-'Mass Ion Calculations'!$E$19-'Mass Ion Calculations'!$E6)/2-'Mass Ion Calculations'!$D$5)))</f>
        <v>-385.091275</v>
      </c>
      <c r="Q5" s="3">
        <f>IF(OR($B5="",Q$3=""),"",IF('Mass Ion Calculations'!$D$6="Yes",IF('Mass Ion Calculations'!$D$7="Yes",('Mass Ion Calculations'!$D$18+'AA Exact Masses'!$Q$3+'AA Exact Masses'!$Q$2-'Mass Ion Calculations'!$C$20-'Mass Ion Calculations'!$C6)/2-'Mass Ion Calculations'!$D$5,('Mass Ion Calculations'!$F$18+'AA Exact Masses'!$Q$3+'AA Exact Masses'!$Q$2-'Mass Ion Calculations'!$E$20-'Mass Ion Calculations'!$E6)/2-'Mass Ion Calculations'!$D$5),IF('Mass Ion Calculations'!$D$7="Yes", ('Mass Ion Calculations'!$D$15+'AA Exact Masses'!$Q$3+'AA Exact Masses'!$Q$2-'Mass Ion Calculations'!$C$20-'Mass Ion Calculations'!$C6)/2-'Mass Ion Calculations'!$D$5,('Mass Ion Calculations'!$F$15+'AA Exact Masses'!$Q$3+'AA Exact Masses'!$Q$2-'Mass Ion Calculations'!$E$20-'Mass Ion Calculations'!$E6)/2-'Mass Ion Calculations'!$D$5)))</f>
        <v>-392.09909999999991</v>
      </c>
      <c r="R5" s="3" t="e">
        <f>IF(OR($B5="",R$3=""),"",IF('Mass Ion Calculations'!$D$6="Yes",IF('Mass Ion Calculations'!$D$7="Yes",('Mass Ion Calculations'!$D$18+'AA Exact Masses'!$Q$3+'AA Exact Masses'!$Q$2-'Mass Ion Calculations'!$C$21-'Mass Ion Calculations'!$C6)/2-'Mass Ion Calculations'!$D$5,('Mass Ion Calculations'!$F$18+'AA Exact Masses'!$Q$3+'AA Exact Masses'!$Q$2-'Mass Ion Calculations'!$E$21-'Mass Ion Calculations'!$E6)/2-'Mass Ion Calculations'!$D$5),IF('Mass Ion Calculations'!$D$7="Yes", ('Mass Ion Calculations'!$D$15+'AA Exact Masses'!$Q$3+'AA Exact Masses'!$Q$2-'Mass Ion Calculations'!$C$21-'Mass Ion Calculations'!$C6)/2-'Mass Ion Calculations'!$D$5,('Mass Ion Calculations'!$F$15+'AA Exact Masses'!$Q$3+'AA Exact Masses'!$Q$2-'Mass Ion Calculations'!$E$21-'Mass Ion Calculations'!$E6)/2-'Mass Ion Calculations'!$D$5)))</f>
        <v>#VALUE!</v>
      </c>
      <c r="S5" s="3" t="str">
        <f>IF(OR($B5="",S$3=""),"",IF('Mass Ion Calculations'!$D$6="Yes",IF('Mass Ion Calculations'!$D$7="Yes",('Mass Ion Calculations'!$D$18+'AA Exact Masses'!$Q$3+'AA Exact Masses'!$Q$2-'Mass Ion Calculations'!$C$22-'Mass Ion Calculations'!$C6)/2-'Mass Ion Calculations'!$D$5,('Mass Ion Calculations'!$F$18+'AA Exact Masses'!$Q$3+'AA Exact Masses'!$Q$2-'Mass Ion Calculations'!$E$22-'Mass Ion Calculations'!$E6)/2-'Mass Ion Calculations'!$D$5),IF('Mass Ion Calculations'!$D$7="Yes", ('Mass Ion Calculations'!$D$15+'AA Exact Masses'!$Q$3+'AA Exact Masses'!$Q$2-'Mass Ion Calculations'!$C$22-'Mass Ion Calculations'!$C6)/2-'Mass Ion Calculations'!$D$5,('Mass Ion Calculations'!$F$15+'AA Exact Masses'!$Q$3+'AA Exact Masses'!$Q$2-'Mass Ion Calculations'!$E$22-'Mass Ion Calculations'!$E6)/2-'Mass Ion Calculations'!$D$5)))</f>
        <v/>
      </c>
      <c r="T5" s="3" t="e">
        <f>IF(OR($B5="",T$3=""),"",IF('Mass Ion Calculations'!$D$6="Yes",IF('Mass Ion Calculations'!$D$7="Yes",('Mass Ion Calculations'!$D$18+'AA Exact Masses'!$Q$3+'AA Exact Masses'!$Q$2-'Mass Ion Calculations'!$C$22-'Mass Ion Calculations'!$C6)/2-'Mass Ion Calculations'!$D$5,('Mass Ion Calculations'!$F$18+'AA Exact Masses'!$Q$3+'AA Exact Masses'!$Q$2-'Mass Ion Calculations'!$E$22-'Mass Ion Calculations'!$E6)/2-'Mass Ion Calculations'!$D$5),IF('Mass Ion Calculations'!$D$7="Yes", ('Mass Ion Calculations'!$D$15+'AA Exact Masses'!$Q$3+'AA Exact Masses'!$Q$2-'Mass Ion Calculations'!$C$22-'Mass Ion Calculations'!$C6)/2-'Mass Ion Calculations'!$D$5,('Mass Ion Calculations'!$F$15+'AA Exact Masses'!$Q$3+'AA Exact Masses'!$Q$2-'Mass Ion Calculations'!$E$22-'Mass Ion Calculations'!$E6)/2-'Mass Ion Calculations'!$D$5)))</f>
        <v>#VALUE!</v>
      </c>
      <c r="U5" s="3" t="e">
        <f>IF(OR($B5="",U$3=""),"",IF('Mass Ion Calculations'!$D$6="Yes",IF('Mass Ion Calculations'!$D$7="Yes",('Mass Ion Calculations'!$D$18+'AA Exact Masses'!$Q$3+'AA Exact Masses'!$Q$2-'Mass Ion Calculations'!$C$23-'Mass Ion Calculations'!$C6)/2-'Mass Ion Calculations'!$D$5,('Mass Ion Calculations'!$F$18+'AA Exact Masses'!$Q$3+'AA Exact Masses'!$Q$2-'Mass Ion Calculations'!$E$23-'Mass Ion Calculations'!$E6)/2-'Mass Ion Calculations'!$D$5),IF('Mass Ion Calculations'!$D$7="Yes", ('Mass Ion Calculations'!$D$15+'AA Exact Masses'!$Q$3+'AA Exact Masses'!$Q$2-'Mass Ion Calculations'!$C$23-'Mass Ion Calculations'!$C6)/2-'Mass Ion Calculations'!$D$5,('Mass Ion Calculations'!$F$15+'AA Exact Masses'!$Q$3+'AA Exact Masses'!$Q$2-'Mass Ion Calculations'!$E$23-'Mass Ion Calculations'!$E6)/2-'Mass Ion Calculations'!$D$5)))</f>
        <v>#VALUE!</v>
      </c>
      <c r="V5" s="3" t="str">
        <f>IF(OR($B5="",V$3=""),"",IF('Mass Ion Calculations'!$D$6="Yes",IF('Mass Ion Calculations'!$D$7="Yes",('Mass Ion Calculations'!$D$18+'AA Exact Masses'!$Q$3+'AA Exact Masses'!$Q$2-'Mass Ion Calculations'!$C$24-'Mass Ion Calculations'!$C6)/2-'Mass Ion Calculations'!$D$5,('Mass Ion Calculations'!$F$18+'AA Exact Masses'!$Q$3+'AA Exact Masses'!$Q$2-'Mass Ion Calculations'!$E$24-'Mass Ion Calculations'!$E6)/2-'Mass Ion Calculations'!$D$5),IF('Mass Ion Calculations'!$D$7="Yes", ('Mass Ion Calculations'!$D$15+'AA Exact Masses'!$Q$3+'AA Exact Masses'!$Q$2-'Mass Ion Calculations'!$C$24-'Mass Ion Calculations'!$C6)/2-'Mass Ion Calculations'!$D$5,('Mass Ion Calculations'!$F$15+'AA Exact Masses'!$Q$3+'AA Exact Masses'!$Q$2-'Mass Ion Calculations'!$E$24-'Mass Ion Calculations'!$E6)/2-'Mass Ion Calculations'!$D$5)))</f>
        <v/>
      </c>
      <c r="W5" s="3" t="str">
        <f>IF(OR($B5="",W$3=""),"",IF('Mass Ion Calculations'!$D$6="Yes",IF('Mass Ion Calculations'!$D$7="Yes",('Mass Ion Calculations'!$D$18+'AA Exact Masses'!$Q$3+'AA Exact Masses'!$Q$2-'Mass Ion Calculations'!$C$25-'Mass Ion Calculations'!$C6)/2-'Mass Ion Calculations'!$D$5,('Mass Ion Calculations'!$F$18+'AA Exact Masses'!$Q$3+'AA Exact Masses'!$Q$2-'Mass Ion Calculations'!$E$25-'Mass Ion Calculations'!$E6)/2-'Mass Ion Calculations'!$D$5),IF('Mass Ion Calculations'!$D$7="Yes", ('Mass Ion Calculations'!$D$15+'AA Exact Masses'!$Q$3+'AA Exact Masses'!$Q$2-'Mass Ion Calculations'!$C$25-'Mass Ion Calculations'!$C6)/2-'Mass Ion Calculations'!$D$5,('Mass Ion Calculations'!$F$15+'AA Exact Masses'!$Q$3+'AA Exact Masses'!$Q$2-'Mass Ion Calculations'!$E$25-'Mass Ion Calculations'!$E6)/2-'Mass Ion Calculations'!$D$5)))</f>
        <v/>
      </c>
      <c r="X5" s="3" t="str">
        <f>IF(OR($B5="",X$3=""),"",IF('Mass Ion Calculations'!$D$6="Yes",IF('Mass Ion Calculations'!$D$7="Yes",('Mass Ion Calculations'!$D$18+'AA Exact Masses'!$Q$3+'AA Exact Masses'!$Q$2-'Mass Ion Calculations'!$C$26-'Mass Ion Calculations'!$C6)/2-'Mass Ion Calculations'!$D$5,('Mass Ion Calculations'!$F$18+'AA Exact Masses'!$Q$3+'AA Exact Masses'!$Q$2-'Mass Ion Calculations'!$E$26-'Mass Ion Calculations'!$E6)/2-'Mass Ion Calculations'!$D$5),IF('Mass Ion Calculations'!$D$7="Yes", ('Mass Ion Calculations'!$D$15+'AA Exact Masses'!$Q$3+'AA Exact Masses'!$Q$2-'Mass Ion Calculations'!$C$26-'Mass Ion Calculations'!$C6)/2-'Mass Ion Calculations'!$D$5,('Mass Ion Calculations'!$F$15+'AA Exact Masses'!$Q$3+'AA Exact Masses'!$Q$2-'Mass Ion Calculations'!$E$26-'Mass Ion Calculations'!$E6)/2-'Mass Ion Calculations'!$D$5)))</f>
        <v/>
      </c>
      <c r="Y5" s="3" t="str">
        <f>IF(OR($B5="",Y$3=""),"",IF('Mass Ion Calculations'!$D$6="Yes",IF('Mass Ion Calculations'!$D$7="Yes",('Mass Ion Calculations'!$D$18+'AA Exact Masses'!$Q$3+'AA Exact Masses'!$Q$2-'Mass Ion Calculations'!$C$27-'Mass Ion Calculations'!$C6)/2-'Mass Ion Calculations'!$D$5,('Mass Ion Calculations'!$F$18+'AA Exact Masses'!$Q$3+'AA Exact Masses'!$Q$2-'Mass Ion Calculations'!$E$27-'Mass Ion Calculations'!$E6)/2-'Mass Ion Calculations'!$D$5),IF('Mass Ion Calculations'!$D$7="Yes", ('Mass Ion Calculations'!$D$15+'AA Exact Masses'!$Q$3+'AA Exact Masses'!$Q$2-'Mass Ion Calculations'!$C$27-'Mass Ion Calculations'!$C6)/2-'Mass Ion Calculations'!$D$5,('Mass Ion Calculations'!$F$15+'AA Exact Masses'!$Q$3+'AA Exact Masses'!$Q$2-'Mass Ion Calculations'!$E$27-'Mass Ion Calculations'!$E6)/2-'Mass Ion Calculations'!$D$5)))</f>
        <v/>
      </c>
      <c r="Z5" s="3" t="str">
        <f>IF(OR($B5="",Z$3=""),"",IF('Mass Ion Calculations'!$D$6="Yes",IF('Mass Ion Calculations'!$D$7="Yes",('Mass Ion Calculations'!$D$18+'AA Exact Masses'!$Q$3+'AA Exact Masses'!$Q$2-'Mass Ion Calculations'!$C$28-'Mass Ion Calculations'!$C6)/2-'Mass Ion Calculations'!$D$5,('Mass Ion Calculations'!$F$18+'AA Exact Masses'!$Q$3+'AA Exact Masses'!$Q$2-'Mass Ion Calculations'!$E$28-'Mass Ion Calculations'!$E6)/2-'Mass Ion Calculations'!$D$5),IF('Mass Ion Calculations'!$D$7="Yes", ('Mass Ion Calculations'!$D$15+'AA Exact Masses'!$Q$3+'AA Exact Masses'!$Q$2-'Mass Ion Calculations'!$C$28-'Mass Ion Calculations'!$C6)/2-'Mass Ion Calculations'!$D$5,('Mass Ion Calculations'!$F$15+'AA Exact Masses'!$Q$3+'AA Exact Masses'!$Q$2-'Mass Ion Calculations'!$E$28-'Mass Ion Calculations'!$E6)/2-'Mass Ion Calculations'!$D$5)))</f>
        <v/>
      </c>
    </row>
    <row r="6" spans="2:26" x14ac:dyDescent="0.25">
      <c r="B6" s="4" t="str">
        <f>IF('Mass Ion Calculations'!B7="","", 'Mass Ion Calculations'!B7)</f>
        <v>Ile</v>
      </c>
      <c r="C6" s="3">
        <f>IF(OR($B6="",C$3=""),"",IF('Mass Ion Calculations'!$D$6="Yes",IF('Mass Ion Calculations'!$D$7="Yes",('Mass Ion Calculations'!$D$18+'AA Exact Masses'!$Q$3+'AA Exact Masses'!$Q$2-'Mass Ion Calculations'!$C$5-'Mass Ion Calculations'!$C7)/2-'Mass Ion Calculations'!$D$5,('Mass Ion Calculations'!$F$18+'AA Exact Masses'!$Q$3+'AA Exact Masses'!$Q$2-'Mass Ion Calculations'!$E$5-'Mass Ion Calculations'!$E7)/2-'Mass Ion Calculations'!$D$5),IF('Mass Ion Calculations'!$D$7="Yes", ('Mass Ion Calculations'!$D$15+'AA Exact Masses'!$Q$3+'AA Exact Masses'!$Q$2-'Mass Ion Calculations'!$C$5-'Mass Ion Calculations'!$C7)/2-'Mass Ion Calculations'!$D$5,('Mass Ion Calculations'!$F$15+'AA Exact Masses'!$Q$3+'AA Exact Masses'!$Q$2-'Mass Ion Calculations'!$E$5-'Mass Ion Calculations'!$E7)/2-'Mass Ion Calculations'!$D$5)))</f>
        <v>-413.62020499999994</v>
      </c>
      <c r="D6" s="3">
        <f>IF(OR($B6="",D$3=""),"",IF('Mass Ion Calculations'!$D$6="Yes",IF('Mass Ion Calculations'!$D$7="Yes",('Mass Ion Calculations'!$D$18+'AA Exact Masses'!$Q$3+'AA Exact Masses'!$Q$2-'Mass Ion Calculations'!$C$6-'Mass Ion Calculations'!$C7)/2-'Mass Ion Calculations'!$D$5,('Mass Ion Calculations'!$F$18+'AA Exact Masses'!$Q$3+'AA Exact Masses'!$Q$2-'Mass Ion Calculations'!$E$6-'Mass Ion Calculations'!$E7)/2-'Mass Ion Calculations'!$D$5),IF('Mass Ion Calculations'!$D$7="Yes", ('Mass Ion Calculations'!$D$15+'AA Exact Masses'!$Q$3+'AA Exact Masses'!$Q$2-'Mass Ion Calculations'!$C$6-'Mass Ion Calculations'!$C7)/2-'Mass Ion Calculations'!$D$5,('Mass Ion Calculations'!$F$15+'AA Exact Masses'!$Q$3+'AA Exact Masses'!$Q$2-'Mass Ion Calculations'!$E$6-'Mass Ion Calculations'!$E7)/2-'Mass Ion Calculations'!$D$5)))</f>
        <v>-392.09909999999991</v>
      </c>
      <c r="E6" s="3">
        <f>IF(OR($B6="",E$3=""),"",IF('Mass Ion Calculations'!$D$6="Yes",IF('Mass Ion Calculations'!$D$7="Yes",('Mass Ion Calculations'!$D$18+'AA Exact Masses'!$Q$3+'AA Exact Masses'!$Q$2-'Mass Ion Calculations'!$C$7-'Mass Ion Calculations'!$C7)/2-'Mass Ion Calculations'!$D$5,('Mass Ion Calculations'!$F$18+'AA Exact Masses'!$Q$3+'AA Exact Masses'!$Q$2-'Mass Ion Calculations'!$E$7-'Mass Ion Calculations'!$E7)/2-'Mass Ion Calculations'!$D$5),IF('Mass Ion Calculations'!$D$7="Yes", ('Mass Ion Calculations'!$D$15+'AA Exact Masses'!$Q$3+'AA Exact Masses'!$Q$2-'Mass Ion Calculations'!$C$7-'Mass Ion Calculations'!$C7)/2-'Mass Ion Calculations'!$D$5,('Mass Ion Calculations'!$F$15+'AA Exact Masses'!$Q$3+'AA Exact Masses'!$Q$2-'Mass Ion Calculations'!$E$7-'Mass Ion Calculations'!$E7)/2-'Mass Ion Calculations'!$D$5)))</f>
        <v>-413.12257499999987</v>
      </c>
      <c r="F6" s="3">
        <f>IF(OR($B6="",F$3=""),"",IF('Mass Ion Calculations'!$D$6="Yes",IF('Mass Ion Calculations'!$D$7="Yes",('Mass Ion Calculations'!$D$18+'AA Exact Masses'!$Q$3+'AA Exact Masses'!$Q$2-'Mass Ion Calculations'!$C$8-'Mass Ion Calculations'!$C7)/2-'Mass Ion Calculations'!$D$5,('Mass Ion Calculations'!$F$18+'AA Exact Masses'!$Q$3+'AA Exact Masses'!$Q$2-'Mass Ion Calculations'!$E$8-'Mass Ion Calculations'!$E7)/2-'Mass Ion Calculations'!$D$5),IF('Mass Ion Calculations'!$D$7="Yes", ('Mass Ion Calculations'!$D$15+'AA Exact Masses'!$Q$3+'AA Exact Masses'!$Q$2-'Mass Ion Calculations'!$C$8-'Mass Ion Calculations'!$C7)/2-'Mass Ion Calculations'!$D$5,('Mass Ion Calculations'!$F$15+'AA Exact Masses'!$Q$3+'AA Exact Masses'!$Q$2-'Mass Ion Calculations'!$E$8-'Mass Ion Calculations'!$E7)/2-'Mass Ion Calculations'!$D$5)))</f>
        <v>-413.12257499999987</v>
      </c>
      <c r="G6" s="3">
        <f>IF(OR($B6="",G$3=""),"",IF('Mass Ion Calculations'!$D$6="Yes",IF('Mass Ion Calculations'!$D$7="Yes",('Mass Ion Calculations'!$D$18+'AA Exact Masses'!$Q$3+'AA Exact Masses'!$Q$2-'Mass Ion Calculations'!$C$9-'Mass Ion Calculations'!$C7)/2-'Mass Ion Calculations'!$D$5,('Mass Ion Calculations'!$F$18+'AA Exact Masses'!$Q$3+'AA Exact Masses'!$Q$2-'Mass Ion Calculations'!$E$9-'Mass Ion Calculations'!$E7)/2-'Mass Ion Calculations'!$D$5),IF('Mass Ion Calculations'!$D$7="Yes", ('Mass Ion Calculations'!$D$15+'AA Exact Masses'!$Q$3+'AA Exact Masses'!$Q$2-'Mass Ion Calculations'!$C$9-'Mass Ion Calculations'!$C7)/2-'Mass Ion Calculations'!$D$5,('Mass Ion Calculations'!$F$15+'AA Exact Masses'!$Q$3+'AA Exact Masses'!$Q$2-'Mass Ion Calculations'!$E$9-'Mass Ion Calculations'!$E7)/2-'Mass Ion Calculations'!$D$5)))</f>
        <v>-392.09909999999991</v>
      </c>
      <c r="H6" s="3">
        <f>IF(OR($B6="",H$3=""),"",IF('Mass Ion Calculations'!$D$6="Yes",IF('Mass Ion Calculations'!$D$7="Yes",('Mass Ion Calculations'!$D$18+'AA Exact Masses'!$Q$3+'AA Exact Masses'!$Q$2-'Mass Ion Calculations'!$C$10-'Mass Ion Calculations'!$C7)/2-'Mass Ion Calculations'!$D$5,('Mass Ion Calculations'!$F$18+'AA Exact Masses'!$Q$3+'AA Exact Masses'!$Q$2-'Mass Ion Calculations'!$E$10-'Mass Ion Calculations'!$E7)/2-'Mass Ion Calculations'!$D$5),IF('Mass Ion Calculations'!$D$7="Yes", ('Mass Ion Calculations'!$D$15+'AA Exact Masses'!$Q$3+'AA Exact Masses'!$Q$2-'Mass Ion Calculations'!$C$10-'Mass Ion Calculations'!$C7)/2-'Mass Ion Calculations'!$D$5,('Mass Ion Calculations'!$F$15+'AA Exact Masses'!$Q$3+'AA Exact Masses'!$Q$2-'Mass Ion Calculations'!$E$10-'Mass Ion Calculations'!$E7)/2-'Mass Ion Calculations'!$D$5)))</f>
        <v>-413.12257499999987</v>
      </c>
      <c r="I6" s="3">
        <f>IF(OR($B6="",I$3=""),"",IF('Mass Ion Calculations'!$D$6="Yes",IF('Mass Ion Calculations'!$D$7="Yes",('Mass Ion Calculations'!$D$18+'AA Exact Masses'!$Q$3+'AA Exact Masses'!$Q$2-'Mass Ion Calculations'!$C$11-'Mass Ion Calculations'!$C7)/2-'Mass Ion Calculations'!$D$5,('Mass Ion Calculations'!$F$18+'AA Exact Masses'!$Q$3+'AA Exact Masses'!$Q$2-'Mass Ion Calculations'!$E$11-'Mass Ion Calculations'!$E7)/2-'Mass Ion Calculations'!$D$5),IF('Mass Ion Calculations'!$D$7="Yes", ('Mass Ion Calculations'!$D$15+'AA Exact Masses'!$Q$3+'AA Exact Masses'!$Q$2-'Mass Ion Calculations'!$C$11-'Mass Ion Calculations'!$C7)/2-'Mass Ion Calculations'!$D$5,('Mass Ion Calculations'!$F$15+'AA Exact Masses'!$Q$3+'AA Exact Masses'!$Q$2-'Mass Ion Calculations'!$E$11-'Mass Ion Calculations'!$E7)/2-'Mass Ion Calculations'!$D$5)))</f>
        <v>-413.62020499999994</v>
      </c>
      <c r="J6" s="3">
        <f>IF(OR($B6="",J$3=""),"",IF('Mass Ion Calculations'!$D$6="Yes",IF('Mass Ion Calculations'!$D$7="Yes",('Mass Ion Calculations'!$D$18+'AA Exact Masses'!$Q$3+'AA Exact Masses'!$Q$2-'Mass Ion Calculations'!$C$12-'Mass Ion Calculations'!$C7)/2-'Mass Ion Calculations'!$D$5,('Mass Ion Calculations'!$F$18+'AA Exact Masses'!$Q$3+'AA Exact Masses'!$Q$2-'Mass Ion Calculations'!$E$12-'Mass Ion Calculations'!$E7)/2-'Mass Ion Calculations'!$D$5),IF('Mass Ion Calculations'!$D$7="Yes", ('Mass Ion Calculations'!$D$15+'AA Exact Masses'!$Q$3+'AA Exact Masses'!$Q$2-'Mass Ion Calculations'!$C$12-'Mass Ion Calculations'!$C7)/2-'Mass Ion Calculations'!$D$5,('Mass Ion Calculations'!$F$15+'AA Exact Masses'!$Q$3+'AA Exact Masses'!$Q$2-'Mass Ion Calculations'!$E$12-'Mass Ion Calculations'!$E7)/2-'Mass Ion Calculations'!$D$5)))</f>
        <v>-406.11474999999996</v>
      </c>
      <c r="K6" s="3">
        <f>IF(OR($B6="",K$3=""),"",IF('Mass Ion Calculations'!$D$6="Yes",IF('Mass Ion Calculations'!$D$7="Yes",('Mass Ion Calculations'!$D$18+'AA Exact Masses'!$Q$3+'AA Exact Masses'!$Q$2-'Mass Ion Calculations'!$C$13-'Mass Ion Calculations'!$C7)/2-'Mass Ion Calculations'!$D$5,('Mass Ion Calculations'!$F$18+'AA Exact Masses'!$Q$3+'AA Exact Masses'!$Q$2-'Mass Ion Calculations'!$E$14-'Mass Ion Calculations'!$E7)/2-'Mass Ion Calculations'!$D$5),IF('Mass Ion Calculations'!$D$7="Yes", ('Mass Ion Calculations'!$D$15+'AA Exact Masses'!$Q$3+'AA Exact Masses'!$Q$2-'Mass Ion Calculations'!$C$13-'Mass Ion Calculations'!$C7)/2-'Mass Ion Calculations'!$D$5,('Mass Ion Calculations'!$F$15+'AA Exact Masses'!$Q$3+'AA Exact Masses'!$Q$2-'Mass Ion Calculations'!$E$14-'Mass Ion Calculations'!$E7)/2-'Mass Ion Calculations'!$D$5)))</f>
        <v>-421.10183999999992</v>
      </c>
      <c r="L6" s="3">
        <f>IF(OR($B6="",L$3=""),"",IF('Mass Ion Calculations'!$D$6="Yes",IF('Mass Ion Calculations'!$D$7="Yes",('Mass Ion Calculations'!$D$18+'AA Exact Masses'!$Q$3+'AA Exact Masses'!$Q$2-'Mass Ion Calculations'!$C$14-'Mass Ion Calculations'!$C7)/2-'Mass Ion Calculations'!$D$5,('Mass Ion Calculations'!$F$18+'AA Exact Masses'!$Q$3+'AA Exact Masses'!$Q$2-'Mass Ion Calculations'!$E$15-'Mass Ion Calculations'!$E7)/2-'Mass Ion Calculations'!$D$5),IF('Mass Ion Calculations'!$D$7="Yes", ('Mass Ion Calculations'!$D$15+'AA Exact Masses'!$Q$3+'AA Exact Masses'!$Q$2-'Mass Ion Calculations'!$C$14-'Mass Ion Calculations'!$C7)/2-'Mass Ion Calculations'!$D$5,('Mass Ion Calculations'!$F$15+'AA Exact Masses'!$Q$3+'AA Exact Masses'!$Q$2-'Mass Ion Calculations'!$E$15-'Mass Ion Calculations'!$E7)/2-'Mass Ion Calculations'!$D$5)))</f>
        <v>-414.0940149999999</v>
      </c>
      <c r="M6" s="3">
        <f>IF(OR($B6="",M$3=""),"",IF('Mass Ion Calculations'!$D$6="Yes",IF('Mass Ion Calculations'!$D$7="Yes",('Mass Ion Calculations'!$D$18+'AA Exact Masses'!$Q$3+'AA Exact Masses'!$Q$2-'Mass Ion Calculations'!$C$15-'Mass Ion Calculations'!$C7)/2-'Mass Ion Calculations'!$D$5,('Mass Ion Calculations'!$F$18+'AA Exact Masses'!$Q$3+'AA Exact Masses'!$Q$2-'Mass Ion Calculations'!$E$16-'Mass Ion Calculations'!$E7)/2-'Mass Ion Calculations'!$D$5),IF('Mass Ion Calculations'!$D$7="Yes", ('Mass Ion Calculations'!$D$15+'AA Exact Masses'!$Q$3+'AA Exact Masses'!$Q$2-'Mass Ion Calculations'!$C$15-'Mass Ion Calculations'!$C7)/2-'Mass Ion Calculations'!$D$5,('Mass Ion Calculations'!$F$15+'AA Exact Masses'!$Q$3+'AA Exact Masses'!$Q$2-'Mass Ion Calculations'!$E$16-'Mass Ion Calculations'!$E7)/2-'Mass Ion Calculations'!$D$5)))</f>
        <v>-392.09909999999991</v>
      </c>
      <c r="N6" s="3">
        <f>IF(OR($B6="",N$3=""),"",IF('Mass Ion Calculations'!$D$6="Yes",IF('Mass Ion Calculations'!$D$7="Yes",('Mass Ion Calculations'!$D$18+'AA Exact Masses'!$Q$3+'AA Exact Masses'!$Q$2-'Mass Ion Calculations'!$C$16-'Mass Ion Calculations'!$C7)/2-'Mass Ion Calculations'!$D$5,('Mass Ion Calculations'!$F$18+'AA Exact Masses'!$Q$3+'AA Exact Masses'!$Q$2-'Mass Ion Calculations'!$E$17-'Mass Ion Calculations'!$E7)/2-'Mass Ion Calculations'!$D$5),IF('Mass Ion Calculations'!$D$7="Yes", ('Mass Ion Calculations'!$D$15+'AA Exact Masses'!$Q$3+'AA Exact Masses'!$Q$2-'Mass Ion Calculations'!$C$16-'Mass Ion Calculations'!$C7)/2-'Mass Ion Calculations'!$D$5,('Mass Ion Calculations'!$F$15+'AA Exact Masses'!$Q$3+'AA Exact Masses'!$Q$2-'Mass Ion Calculations'!$E$17-'Mass Ion Calculations'!$E7)/2-'Mass Ion Calculations'!$D$5)))</f>
        <v>-430.11474999999996</v>
      </c>
      <c r="O6" s="3">
        <f>IF(OR($B6="",O$3=""),"",IF('Mass Ion Calculations'!$D$6="Yes",IF('Mass Ion Calculations'!$D$7="Yes",('Mass Ion Calculations'!$D$18+'AA Exact Masses'!$Q$3+'AA Exact Masses'!$Q$2-'Mass Ion Calculations'!$C$17-'Mass Ion Calculations'!$C7)/2-'Mass Ion Calculations'!$D$5,('Mass Ion Calculations'!$F$18+'AA Exact Masses'!$Q$3+'AA Exact Masses'!$Q$2-'Mass Ion Calculations'!$E$18-'Mass Ion Calculations'!$E7)/2-'Mass Ion Calculations'!$D$5),IF('Mass Ion Calculations'!$D$7="Yes", ('Mass Ion Calculations'!$D$15+'AA Exact Masses'!$Q$3+'AA Exact Masses'!$Q$2-'Mass Ion Calculations'!$C$17-'Mass Ion Calculations'!$C7)/2-'Mass Ion Calculations'!$D$5,('Mass Ion Calculations'!$F$15+'AA Exact Masses'!$Q$3+'AA Exact Masses'!$Q$2-'Mass Ion Calculations'!$E$18-'Mass Ion Calculations'!$E7)/2-'Mass Ion Calculations'!$D$5)))</f>
        <v>-493.06307499999991</v>
      </c>
      <c r="P6" s="3">
        <f>IF(OR($B6="",P$3=""),"",IF('Mass Ion Calculations'!$D$6="Yes",IF('Mass Ion Calculations'!$D$7="Yes",('Mass Ion Calculations'!$D$18+'AA Exact Masses'!$Q$3+'AA Exact Masses'!$Q$2-'Mass Ion Calculations'!$C$19-'Mass Ion Calculations'!$C7)/2-'Mass Ion Calculations'!$D$5,('Mass Ion Calculations'!$F$18+'AA Exact Masses'!$Q$3+'AA Exact Masses'!$Q$2-'Mass Ion Calculations'!$E$19-'Mass Ion Calculations'!$E7)/2-'Mass Ion Calculations'!$D$5),IF('Mass Ion Calculations'!$D$7="Yes", ('Mass Ion Calculations'!$D$15+'AA Exact Masses'!$Q$3+'AA Exact Masses'!$Q$2-'Mass Ion Calculations'!$C$19-'Mass Ion Calculations'!$C7)/2-'Mass Ion Calculations'!$D$5,('Mass Ion Calculations'!$F$15+'AA Exact Masses'!$Q$3+'AA Exact Masses'!$Q$2-'Mass Ion Calculations'!$E$19-'Mass Ion Calculations'!$E7)/2-'Mass Ion Calculations'!$D$5)))</f>
        <v>-406.11474999999996</v>
      </c>
      <c r="Q6" s="3">
        <f>IF(OR($B6="",Q$3=""),"",IF('Mass Ion Calculations'!$D$6="Yes",IF('Mass Ion Calculations'!$D$7="Yes",('Mass Ion Calculations'!$D$18+'AA Exact Masses'!$Q$3+'AA Exact Masses'!$Q$2-'Mass Ion Calculations'!$C$20-'Mass Ion Calculations'!$C7)/2-'Mass Ion Calculations'!$D$5,('Mass Ion Calculations'!$F$18+'AA Exact Masses'!$Q$3+'AA Exact Masses'!$Q$2-'Mass Ion Calculations'!$E$20-'Mass Ion Calculations'!$E7)/2-'Mass Ion Calculations'!$D$5),IF('Mass Ion Calculations'!$D$7="Yes", ('Mass Ion Calculations'!$D$15+'AA Exact Masses'!$Q$3+'AA Exact Masses'!$Q$2-'Mass Ion Calculations'!$C$20-'Mass Ion Calculations'!$C7)/2-'Mass Ion Calculations'!$D$5,('Mass Ion Calculations'!$F$15+'AA Exact Masses'!$Q$3+'AA Exact Masses'!$Q$2-'Mass Ion Calculations'!$E$20-'Mass Ion Calculations'!$E7)/2-'Mass Ion Calculations'!$D$5)))</f>
        <v>-413.12257499999987</v>
      </c>
      <c r="R6" s="3" t="e">
        <f>IF(OR($B6="",R$3=""),"",IF('Mass Ion Calculations'!$D$6="Yes",IF('Mass Ion Calculations'!$D$7="Yes",('Mass Ion Calculations'!$D$18+'AA Exact Masses'!$Q$3+'AA Exact Masses'!$Q$2-'Mass Ion Calculations'!$C$21-'Mass Ion Calculations'!$C7)/2-'Mass Ion Calculations'!$D$5,('Mass Ion Calculations'!$F$18+'AA Exact Masses'!$Q$3+'AA Exact Masses'!$Q$2-'Mass Ion Calculations'!$E$21-'Mass Ion Calculations'!$E7)/2-'Mass Ion Calculations'!$D$5),IF('Mass Ion Calculations'!$D$7="Yes", ('Mass Ion Calculations'!$D$15+'AA Exact Masses'!$Q$3+'AA Exact Masses'!$Q$2-'Mass Ion Calculations'!$C$21-'Mass Ion Calculations'!$C7)/2-'Mass Ion Calculations'!$D$5,('Mass Ion Calculations'!$F$15+'AA Exact Masses'!$Q$3+'AA Exact Masses'!$Q$2-'Mass Ion Calculations'!$E$21-'Mass Ion Calculations'!$E7)/2-'Mass Ion Calculations'!$D$5)))</f>
        <v>#VALUE!</v>
      </c>
      <c r="S6" s="3" t="str">
        <f>IF(OR($B6="",S$3=""),"",IF('Mass Ion Calculations'!$D$6="Yes",IF('Mass Ion Calculations'!$D$7="Yes",('Mass Ion Calculations'!$D$18+'AA Exact Masses'!$Q$3+'AA Exact Masses'!$Q$2-'Mass Ion Calculations'!$C$22-'Mass Ion Calculations'!$C7)/2-'Mass Ion Calculations'!$D$5,('Mass Ion Calculations'!$F$18+'AA Exact Masses'!$Q$3+'AA Exact Masses'!$Q$2-'Mass Ion Calculations'!$E$22-'Mass Ion Calculations'!$E7)/2-'Mass Ion Calculations'!$D$5),IF('Mass Ion Calculations'!$D$7="Yes", ('Mass Ion Calculations'!$D$15+'AA Exact Masses'!$Q$3+'AA Exact Masses'!$Q$2-'Mass Ion Calculations'!$C$22-'Mass Ion Calculations'!$C7)/2-'Mass Ion Calculations'!$D$5,('Mass Ion Calculations'!$F$15+'AA Exact Masses'!$Q$3+'AA Exact Masses'!$Q$2-'Mass Ion Calculations'!$E$22-'Mass Ion Calculations'!$E7)/2-'Mass Ion Calculations'!$D$5)))</f>
        <v/>
      </c>
      <c r="T6" s="3" t="e">
        <f>IF(OR($B6="",T$3=""),"",IF('Mass Ion Calculations'!$D$6="Yes",IF('Mass Ion Calculations'!$D$7="Yes",('Mass Ion Calculations'!$D$18+'AA Exact Masses'!$Q$3+'AA Exact Masses'!$Q$2-'Mass Ion Calculations'!$C$22-'Mass Ion Calculations'!$C7)/2-'Mass Ion Calculations'!$D$5,('Mass Ion Calculations'!$F$18+'AA Exact Masses'!$Q$3+'AA Exact Masses'!$Q$2-'Mass Ion Calculations'!$E$22-'Mass Ion Calculations'!$E7)/2-'Mass Ion Calculations'!$D$5),IF('Mass Ion Calculations'!$D$7="Yes", ('Mass Ion Calculations'!$D$15+'AA Exact Masses'!$Q$3+'AA Exact Masses'!$Q$2-'Mass Ion Calculations'!$C$22-'Mass Ion Calculations'!$C7)/2-'Mass Ion Calculations'!$D$5,('Mass Ion Calculations'!$F$15+'AA Exact Masses'!$Q$3+'AA Exact Masses'!$Q$2-'Mass Ion Calculations'!$E$22-'Mass Ion Calculations'!$E7)/2-'Mass Ion Calculations'!$D$5)))</f>
        <v>#VALUE!</v>
      </c>
      <c r="U6" s="3" t="e">
        <f>IF(OR($B6="",U$3=""),"",IF('Mass Ion Calculations'!$D$6="Yes",IF('Mass Ion Calculations'!$D$7="Yes",('Mass Ion Calculations'!$D$18+'AA Exact Masses'!$Q$3+'AA Exact Masses'!$Q$2-'Mass Ion Calculations'!$C$23-'Mass Ion Calculations'!$C7)/2-'Mass Ion Calculations'!$D$5,('Mass Ion Calculations'!$F$18+'AA Exact Masses'!$Q$3+'AA Exact Masses'!$Q$2-'Mass Ion Calculations'!$E$23-'Mass Ion Calculations'!$E7)/2-'Mass Ion Calculations'!$D$5),IF('Mass Ion Calculations'!$D$7="Yes", ('Mass Ion Calculations'!$D$15+'AA Exact Masses'!$Q$3+'AA Exact Masses'!$Q$2-'Mass Ion Calculations'!$C$23-'Mass Ion Calculations'!$C7)/2-'Mass Ion Calculations'!$D$5,('Mass Ion Calculations'!$F$15+'AA Exact Masses'!$Q$3+'AA Exact Masses'!$Q$2-'Mass Ion Calculations'!$E$23-'Mass Ion Calculations'!$E7)/2-'Mass Ion Calculations'!$D$5)))</f>
        <v>#VALUE!</v>
      </c>
      <c r="V6" s="3" t="str">
        <f>IF(OR($B6="",V$3=""),"",IF('Mass Ion Calculations'!$D$6="Yes",IF('Mass Ion Calculations'!$D$7="Yes",('Mass Ion Calculations'!$D$18+'AA Exact Masses'!$Q$3+'AA Exact Masses'!$Q$2-'Mass Ion Calculations'!$C$24-'Mass Ion Calculations'!$C7)/2-'Mass Ion Calculations'!$D$5,('Mass Ion Calculations'!$F$18+'AA Exact Masses'!$Q$3+'AA Exact Masses'!$Q$2-'Mass Ion Calculations'!$E$24-'Mass Ion Calculations'!$E7)/2-'Mass Ion Calculations'!$D$5),IF('Mass Ion Calculations'!$D$7="Yes", ('Mass Ion Calculations'!$D$15+'AA Exact Masses'!$Q$3+'AA Exact Masses'!$Q$2-'Mass Ion Calculations'!$C$24-'Mass Ion Calculations'!$C7)/2-'Mass Ion Calculations'!$D$5,('Mass Ion Calculations'!$F$15+'AA Exact Masses'!$Q$3+'AA Exact Masses'!$Q$2-'Mass Ion Calculations'!$E$24-'Mass Ion Calculations'!$E7)/2-'Mass Ion Calculations'!$D$5)))</f>
        <v/>
      </c>
      <c r="W6" s="3" t="str">
        <f>IF(OR($B6="",W$3=""),"",IF('Mass Ion Calculations'!$D$6="Yes",IF('Mass Ion Calculations'!$D$7="Yes",('Mass Ion Calculations'!$D$18+'AA Exact Masses'!$Q$3+'AA Exact Masses'!$Q$2-'Mass Ion Calculations'!$C$25-'Mass Ion Calculations'!$C7)/2-'Mass Ion Calculations'!$D$5,('Mass Ion Calculations'!$F$18+'AA Exact Masses'!$Q$3+'AA Exact Masses'!$Q$2-'Mass Ion Calculations'!$E$25-'Mass Ion Calculations'!$E7)/2-'Mass Ion Calculations'!$D$5),IF('Mass Ion Calculations'!$D$7="Yes", ('Mass Ion Calculations'!$D$15+'AA Exact Masses'!$Q$3+'AA Exact Masses'!$Q$2-'Mass Ion Calculations'!$C$25-'Mass Ion Calculations'!$C7)/2-'Mass Ion Calculations'!$D$5,('Mass Ion Calculations'!$F$15+'AA Exact Masses'!$Q$3+'AA Exact Masses'!$Q$2-'Mass Ion Calculations'!$E$25-'Mass Ion Calculations'!$E7)/2-'Mass Ion Calculations'!$D$5)))</f>
        <v/>
      </c>
      <c r="X6" s="3" t="str">
        <f>IF(OR($B6="",X$3=""),"",IF('Mass Ion Calculations'!$D$6="Yes",IF('Mass Ion Calculations'!$D$7="Yes",('Mass Ion Calculations'!$D$18+'AA Exact Masses'!$Q$3+'AA Exact Masses'!$Q$2-'Mass Ion Calculations'!$C$26-'Mass Ion Calculations'!$C7)/2-'Mass Ion Calculations'!$D$5,('Mass Ion Calculations'!$F$18+'AA Exact Masses'!$Q$3+'AA Exact Masses'!$Q$2-'Mass Ion Calculations'!$E$26-'Mass Ion Calculations'!$E7)/2-'Mass Ion Calculations'!$D$5),IF('Mass Ion Calculations'!$D$7="Yes", ('Mass Ion Calculations'!$D$15+'AA Exact Masses'!$Q$3+'AA Exact Masses'!$Q$2-'Mass Ion Calculations'!$C$26-'Mass Ion Calculations'!$C7)/2-'Mass Ion Calculations'!$D$5,('Mass Ion Calculations'!$F$15+'AA Exact Masses'!$Q$3+'AA Exact Masses'!$Q$2-'Mass Ion Calculations'!$E$26-'Mass Ion Calculations'!$E7)/2-'Mass Ion Calculations'!$D$5)))</f>
        <v/>
      </c>
      <c r="Y6" s="3" t="str">
        <f>IF(OR($B6="",Y$3=""),"",IF('Mass Ion Calculations'!$D$6="Yes",IF('Mass Ion Calculations'!$D$7="Yes",('Mass Ion Calculations'!$D$18+'AA Exact Masses'!$Q$3+'AA Exact Masses'!$Q$2-'Mass Ion Calculations'!$C$27-'Mass Ion Calculations'!$C7)/2-'Mass Ion Calculations'!$D$5,('Mass Ion Calculations'!$F$18+'AA Exact Masses'!$Q$3+'AA Exact Masses'!$Q$2-'Mass Ion Calculations'!$E$27-'Mass Ion Calculations'!$E7)/2-'Mass Ion Calculations'!$D$5),IF('Mass Ion Calculations'!$D$7="Yes", ('Mass Ion Calculations'!$D$15+'AA Exact Masses'!$Q$3+'AA Exact Masses'!$Q$2-'Mass Ion Calculations'!$C$27-'Mass Ion Calculations'!$C7)/2-'Mass Ion Calculations'!$D$5,('Mass Ion Calculations'!$F$15+'AA Exact Masses'!$Q$3+'AA Exact Masses'!$Q$2-'Mass Ion Calculations'!$E$27-'Mass Ion Calculations'!$E7)/2-'Mass Ion Calculations'!$D$5)))</f>
        <v/>
      </c>
      <c r="Z6" s="3" t="str">
        <f>IF(OR($B6="",Z$3=""),"",IF('Mass Ion Calculations'!$D$6="Yes",IF('Mass Ion Calculations'!$D$7="Yes",('Mass Ion Calculations'!$D$18+'AA Exact Masses'!$Q$3+'AA Exact Masses'!$Q$2-'Mass Ion Calculations'!$C$28-'Mass Ion Calculations'!$C7)/2-'Mass Ion Calculations'!$D$5,('Mass Ion Calculations'!$F$18+'AA Exact Masses'!$Q$3+'AA Exact Masses'!$Q$2-'Mass Ion Calculations'!$E$28-'Mass Ion Calculations'!$E7)/2-'Mass Ion Calculations'!$D$5),IF('Mass Ion Calculations'!$D$7="Yes", ('Mass Ion Calculations'!$D$15+'AA Exact Masses'!$Q$3+'AA Exact Masses'!$Q$2-'Mass Ion Calculations'!$C$28-'Mass Ion Calculations'!$C7)/2-'Mass Ion Calculations'!$D$5,('Mass Ion Calculations'!$F$15+'AA Exact Masses'!$Q$3+'AA Exact Masses'!$Q$2-'Mass Ion Calculations'!$E$28-'Mass Ion Calculations'!$E7)/2-'Mass Ion Calculations'!$D$5)))</f>
        <v/>
      </c>
    </row>
    <row r="7" spans="2:26" x14ac:dyDescent="0.25">
      <c r="B7" s="4" t="str">
        <f>IF('Mass Ion Calculations'!B8="","", 'Mass Ion Calculations'!B8)</f>
        <v>Ile</v>
      </c>
      <c r="C7" s="3">
        <f>IF(OR($B7="",C$3=""),"",IF('Mass Ion Calculations'!$D$6="Yes",IF('Mass Ion Calculations'!$D$7="Yes",('Mass Ion Calculations'!$D$18+'AA Exact Masses'!$Q$3+'AA Exact Masses'!$Q$2-'Mass Ion Calculations'!$C$5-'Mass Ion Calculations'!$C8)/2-'Mass Ion Calculations'!$D$5,('Mass Ion Calculations'!$F$18+'AA Exact Masses'!$Q$3+'AA Exact Masses'!$Q$2-'Mass Ion Calculations'!$E$5-'Mass Ion Calculations'!$E8)/2-'Mass Ion Calculations'!$D$5),IF('Mass Ion Calculations'!$D$7="Yes", ('Mass Ion Calculations'!$D$15+'AA Exact Masses'!$Q$3+'AA Exact Masses'!$Q$2-'Mass Ion Calculations'!$C$5-'Mass Ion Calculations'!$C8)/2-'Mass Ion Calculations'!$D$5,('Mass Ion Calculations'!$F$15+'AA Exact Masses'!$Q$3+'AA Exact Masses'!$Q$2-'Mass Ion Calculations'!$E$5-'Mass Ion Calculations'!$E8)/2-'Mass Ion Calculations'!$D$5)))</f>
        <v>-413.62020499999994</v>
      </c>
      <c r="D7" s="3">
        <f>IF(OR($B7="",D$3=""),"",IF('Mass Ion Calculations'!$D$6="Yes",IF('Mass Ion Calculations'!$D$7="Yes",('Mass Ion Calculations'!$D$18+'AA Exact Masses'!$Q$3+'AA Exact Masses'!$Q$2-'Mass Ion Calculations'!$C$6-'Mass Ion Calculations'!$C8)/2-'Mass Ion Calculations'!$D$5,('Mass Ion Calculations'!$F$18+'AA Exact Masses'!$Q$3+'AA Exact Masses'!$Q$2-'Mass Ion Calculations'!$E$6-'Mass Ion Calculations'!$E8)/2-'Mass Ion Calculations'!$D$5),IF('Mass Ion Calculations'!$D$7="Yes", ('Mass Ion Calculations'!$D$15+'AA Exact Masses'!$Q$3+'AA Exact Masses'!$Q$2-'Mass Ion Calculations'!$C$6-'Mass Ion Calculations'!$C8)/2-'Mass Ion Calculations'!$D$5,('Mass Ion Calculations'!$F$15+'AA Exact Masses'!$Q$3+'AA Exact Masses'!$Q$2-'Mass Ion Calculations'!$E$6-'Mass Ion Calculations'!$E8)/2-'Mass Ion Calculations'!$D$5)))</f>
        <v>-392.09909999999991</v>
      </c>
      <c r="E7" s="3">
        <f>IF(OR($B7="",E$3=""),"",IF('Mass Ion Calculations'!$D$6="Yes",IF('Mass Ion Calculations'!$D$7="Yes",('Mass Ion Calculations'!$D$18+'AA Exact Masses'!$Q$3+'AA Exact Masses'!$Q$2-'Mass Ion Calculations'!$C$7-'Mass Ion Calculations'!$C8)/2-'Mass Ion Calculations'!$D$5,('Mass Ion Calculations'!$F$18+'AA Exact Masses'!$Q$3+'AA Exact Masses'!$Q$2-'Mass Ion Calculations'!$E$7-'Mass Ion Calculations'!$E8)/2-'Mass Ion Calculations'!$D$5),IF('Mass Ion Calculations'!$D$7="Yes", ('Mass Ion Calculations'!$D$15+'AA Exact Masses'!$Q$3+'AA Exact Masses'!$Q$2-'Mass Ion Calculations'!$C$7-'Mass Ion Calculations'!$C8)/2-'Mass Ion Calculations'!$D$5,('Mass Ion Calculations'!$F$15+'AA Exact Masses'!$Q$3+'AA Exact Masses'!$Q$2-'Mass Ion Calculations'!$E$7-'Mass Ion Calculations'!$E8)/2-'Mass Ion Calculations'!$D$5)))</f>
        <v>-413.12257499999987</v>
      </c>
      <c r="F7" s="3">
        <f>IF(OR($B7="",F$3=""),"",IF('Mass Ion Calculations'!$D$6="Yes",IF('Mass Ion Calculations'!$D$7="Yes",('Mass Ion Calculations'!$D$18+'AA Exact Masses'!$Q$3+'AA Exact Masses'!$Q$2-'Mass Ion Calculations'!$C$8-'Mass Ion Calculations'!$C8)/2-'Mass Ion Calculations'!$D$5,('Mass Ion Calculations'!$F$18+'AA Exact Masses'!$Q$3+'AA Exact Masses'!$Q$2-'Mass Ion Calculations'!$E$8-'Mass Ion Calculations'!$E8)/2-'Mass Ion Calculations'!$D$5),IF('Mass Ion Calculations'!$D$7="Yes", ('Mass Ion Calculations'!$D$15+'AA Exact Masses'!$Q$3+'AA Exact Masses'!$Q$2-'Mass Ion Calculations'!$C$8-'Mass Ion Calculations'!$C8)/2-'Mass Ion Calculations'!$D$5,('Mass Ion Calculations'!$F$15+'AA Exact Masses'!$Q$3+'AA Exact Masses'!$Q$2-'Mass Ion Calculations'!$E$8-'Mass Ion Calculations'!$E8)/2-'Mass Ion Calculations'!$D$5)))</f>
        <v>-413.12257499999987</v>
      </c>
      <c r="G7" s="3">
        <f>IF(OR($B7="",G$3=""),"",IF('Mass Ion Calculations'!$D$6="Yes",IF('Mass Ion Calculations'!$D$7="Yes",('Mass Ion Calculations'!$D$18+'AA Exact Masses'!$Q$3+'AA Exact Masses'!$Q$2-'Mass Ion Calculations'!$C$9-'Mass Ion Calculations'!$C8)/2-'Mass Ion Calculations'!$D$5,('Mass Ion Calculations'!$F$18+'AA Exact Masses'!$Q$3+'AA Exact Masses'!$Q$2-'Mass Ion Calculations'!$E$9-'Mass Ion Calculations'!$E8)/2-'Mass Ion Calculations'!$D$5),IF('Mass Ion Calculations'!$D$7="Yes", ('Mass Ion Calculations'!$D$15+'AA Exact Masses'!$Q$3+'AA Exact Masses'!$Q$2-'Mass Ion Calculations'!$C$9-'Mass Ion Calculations'!$C8)/2-'Mass Ion Calculations'!$D$5,('Mass Ion Calculations'!$F$15+'AA Exact Masses'!$Q$3+'AA Exact Masses'!$Q$2-'Mass Ion Calculations'!$E$9-'Mass Ion Calculations'!$E8)/2-'Mass Ion Calculations'!$D$5)))</f>
        <v>-392.09909999999991</v>
      </c>
      <c r="H7" s="3">
        <f>IF(OR($B7="",H$3=""),"",IF('Mass Ion Calculations'!$D$6="Yes",IF('Mass Ion Calculations'!$D$7="Yes",('Mass Ion Calculations'!$D$18+'AA Exact Masses'!$Q$3+'AA Exact Masses'!$Q$2-'Mass Ion Calculations'!$C$10-'Mass Ion Calculations'!$C8)/2-'Mass Ion Calculations'!$D$5,('Mass Ion Calculations'!$F$18+'AA Exact Masses'!$Q$3+'AA Exact Masses'!$Q$2-'Mass Ion Calculations'!$E$10-'Mass Ion Calculations'!$E8)/2-'Mass Ion Calculations'!$D$5),IF('Mass Ion Calculations'!$D$7="Yes", ('Mass Ion Calculations'!$D$15+'AA Exact Masses'!$Q$3+'AA Exact Masses'!$Q$2-'Mass Ion Calculations'!$C$10-'Mass Ion Calculations'!$C8)/2-'Mass Ion Calculations'!$D$5,('Mass Ion Calculations'!$F$15+'AA Exact Masses'!$Q$3+'AA Exact Masses'!$Q$2-'Mass Ion Calculations'!$E$10-'Mass Ion Calculations'!$E8)/2-'Mass Ion Calculations'!$D$5)))</f>
        <v>-413.12257499999987</v>
      </c>
      <c r="I7" s="3">
        <f>IF(OR($B7="",I$3=""),"",IF('Mass Ion Calculations'!$D$6="Yes",IF('Mass Ion Calculations'!$D$7="Yes",('Mass Ion Calculations'!$D$18+'AA Exact Masses'!$Q$3+'AA Exact Masses'!$Q$2-'Mass Ion Calculations'!$C$11-'Mass Ion Calculations'!$C8)/2-'Mass Ion Calculations'!$D$5,('Mass Ion Calculations'!$F$18+'AA Exact Masses'!$Q$3+'AA Exact Masses'!$Q$2-'Mass Ion Calculations'!$E$11-'Mass Ion Calculations'!$E8)/2-'Mass Ion Calculations'!$D$5),IF('Mass Ion Calculations'!$D$7="Yes", ('Mass Ion Calculations'!$D$15+'AA Exact Masses'!$Q$3+'AA Exact Masses'!$Q$2-'Mass Ion Calculations'!$C$11-'Mass Ion Calculations'!$C8)/2-'Mass Ion Calculations'!$D$5,('Mass Ion Calculations'!$F$15+'AA Exact Masses'!$Q$3+'AA Exact Masses'!$Q$2-'Mass Ion Calculations'!$E$11-'Mass Ion Calculations'!$E8)/2-'Mass Ion Calculations'!$D$5)))</f>
        <v>-413.62020499999994</v>
      </c>
      <c r="J7" s="3">
        <f>IF(OR($B7="",J$3=""),"",IF('Mass Ion Calculations'!$D$6="Yes",IF('Mass Ion Calculations'!$D$7="Yes",('Mass Ion Calculations'!$D$18+'AA Exact Masses'!$Q$3+'AA Exact Masses'!$Q$2-'Mass Ion Calculations'!$C$12-'Mass Ion Calculations'!$C8)/2-'Mass Ion Calculations'!$D$5,('Mass Ion Calculations'!$F$18+'AA Exact Masses'!$Q$3+'AA Exact Masses'!$Q$2-'Mass Ion Calculations'!$E$12-'Mass Ion Calculations'!$E8)/2-'Mass Ion Calculations'!$D$5),IF('Mass Ion Calculations'!$D$7="Yes", ('Mass Ion Calculations'!$D$15+'AA Exact Masses'!$Q$3+'AA Exact Masses'!$Q$2-'Mass Ion Calculations'!$C$12-'Mass Ion Calculations'!$C8)/2-'Mass Ion Calculations'!$D$5,('Mass Ion Calculations'!$F$15+'AA Exact Masses'!$Q$3+'AA Exact Masses'!$Q$2-'Mass Ion Calculations'!$E$12-'Mass Ion Calculations'!$E8)/2-'Mass Ion Calculations'!$D$5)))</f>
        <v>-406.11474999999996</v>
      </c>
      <c r="K7" s="3">
        <f>IF(OR($B7="",K$3=""),"",IF('Mass Ion Calculations'!$D$6="Yes",IF('Mass Ion Calculations'!$D$7="Yes",('Mass Ion Calculations'!$D$18+'AA Exact Masses'!$Q$3+'AA Exact Masses'!$Q$2-'Mass Ion Calculations'!$C$13-'Mass Ion Calculations'!$C8)/2-'Mass Ion Calculations'!$D$5,('Mass Ion Calculations'!$F$18+'AA Exact Masses'!$Q$3+'AA Exact Masses'!$Q$2-'Mass Ion Calculations'!$E$14-'Mass Ion Calculations'!$E8)/2-'Mass Ion Calculations'!$D$5),IF('Mass Ion Calculations'!$D$7="Yes", ('Mass Ion Calculations'!$D$15+'AA Exact Masses'!$Q$3+'AA Exact Masses'!$Q$2-'Mass Ion Calculations'!$C$13-'Mass Ion Calculations'!$C8)/2-'Mass Ion Calculations'!$D$5,('Mass Ion Calculations'!$F$15+'AA Exact Masses'!$Q$3+'AA Exact Masses'!$Q$2-'Mass Ion Calculations'!$E$14-'Mass Ion Calculations'!$E8)/2-'Mass Ion Calculations'!$D$5)))</f>
        <v>-421.10183999999992</v>
      </c>
      <c r="L7" s="3">
        <f>IF(OR($B7="",L$3=""),"",IF('Mass Ion Calculations'!$D$6="Yes",IF('Mass Ion Calculations'!$D$7="Yes",('Mass Ion Calculations'!$D$18+'AA Exact Masses'!$Q$3+'AA Exact Masses'!$Q$2-'Mass Ion Calculations'!$C$14-'Mass Ion Calculations'!$C8)/2-'Mass Ion Calculations'!$D$5,('Mass Ion Calculations'!$F$18+'AA Exact Masses'!$Q$3+'AA Exact Masses'!$Q$2-'Mass Ion Calculations'!$E$15-'Mass Ion Calculations'!$E8)/2-'Mass Ion Calculations'!$D$5),IF('Mass Ion Calculations'!$D$7="Yes", ('Mass Ion Calculations'!$D$15+'AA Exact Masses'!$Q$3+'AA Exact Masses'!$Q$2-'Mass Ion Calculations'!$C$14-'Mass Ion Calculations'!$C8)/2-'Mass Ion Calculations'!$D$5,('Mass Ion Calculations'!$F$15+'AA Exact Masses'!$Q$3+'AA Exact Masses'!$Q$2-'Mass Ion Calculations'!$E$15-'Mass Ion Calculations'!$E8)/2-'Mass Ion Calculations'!$D$5)))</f>
        <v>-414.0940149999999</v>
      </c>
      <c r="M7" s="3">
        <f>IF(OR($B7="",M$3=""),"",IF('Mass Ion Calculations'!$D$6="Yes",IF('Mass Ion Calculations'!$D$7="Yes",('Mass Ion Calculations'!$D$18+'AA Exact Masses'!$Q$3+'AA Exact Masses'!$Q$2-'Mass Ion Calculations'!$C$15-'Mass Ion Calculations'!$C8)/2-'Mass Ion Calculations'!$D$5,('Mass Ion Calculations'!$F$18+'AA Exact Masses'!$Q$3+'AA Exact Masses'!$Q$2-'Mass Ion Calculations'!$E$16-'Mass Ion Calculations'!$E8)/2-'Mass Ion Calculations'!$D$5),IF('Mass Ion Calculations'!$D$7="Yes", ('Mass Ion Calculations'!$D$15+'AA Exact Masses'!$Q$3+'AA Exact Masses'!$Q$2-'Mass Ion Calculations'!$C$15-'Mass Ion Calculations'!$C8)/2-'Mass Ion Calculations'!$D$5,('Mass Ion Calculations'!$F$15+'AA Exact Masses'!$Q$3+'AA Exact Masses'!$Q$2-'Mass Ion Calculations'!$E$16-'Mass Ion Calculations'!$E8)/2-'Mass Ion Calculations'!$D$5)))</f>
        <v>-392.09909999999991</v>
      </c>
      <c r="N7" s="3">
        <f>IF(OR($B7="",N$3=""),"",IF('Mass Ion Calculations'!$D$6="Yes",IF('Mass Ion Calculations'!$D$7="Yes",('Mass Ion Calculations'!$D$18+'AA Exact Masses'!$Q$3+'AA Exact Masses'!$Q$2-'Mass Ion Calculations'!$C$16-'Mass Ion Calculations'!$C8)/2-'Mass Ion Calculations'!$D$5,('Mass Ion Calculations'!$F$18+'AA Exact Masses'!$Q$3+'AA Exact Masses'!$Q$2-'Mass Ion Calculations'!$E$17-'Mass Ion Calculations'!$E8)/2-'Mass Ion Calculations'!$D$5),IF('Mass Ion Calculations'!$D$7="Yes", ('Mass Ion Calculations'!$D$15+'AA Exact Masses'!$Q$3+'AA Exact Masses'!$Q$2-'Mass Ion Calculations'!$C$16-'Mass Ion Calculations'!$C8)/2-'Mass Ion Calculations'!$D$5,('Mass Ion Calculations'!$F$15+'AA Exact Masses'!$Q$3+'AA Exact Masses'!$Q$2-'Mass Ion Calculations'!$E$17-'Mass Ion Calculations'!$E8)/2-'Mass Ion Calculations'!$D$5)))</f>
        <v>-430.11474999999996</v>
      </c>
      <c r="O7" s="3">
        <f>IF(OR($B7="",O$3=""),"",IF('Mass Ion Calculations'!$D$6="Yes",IF('Mass Ion Calculations'!$D$7="Yes",('Mass Ion Calculations'!$D$18+'AA Exact Masses'!$Q$3+'AA Exact Masses'!$Q$2-'Mass Ion Calculations'!$C$17-'Mass Ion Calculations'!$C8)/2-'Mass Ion Calculations'!$D$5,('Mass Ion Calculations'!$F$18+'AA Exact Masses'!$Q$3+'AA Exact Masses'!$Q$2-'Mass Ion Calculations'!$E$18-'Mass Ion Calculations'!$E8)/2-'Mass Ion Calculations'!$D$5),IF('Mass Ion Calculations'!$D$7="Yes", ('Mass Ion Calculations'!$D$15+'AA Exact Masses'!$Q$3+'AA Exact Masses'!$Q$2-'Mass Ion Calculations'!$C$17-'Mass Ion Calculations'!$C8)/2-'Mass Ion Calculations'!$D$5,('Mass Ion Calculations'!$F$15+'AA Exact Masses'!$Q$3+'AA Exact Masses'!$Q$2-'Mass Ion Calculations'!$E$18-'Mass Ion Calculations'!$E8)/2-'Mass Ion Calculations'!$D$5)))</f>
        <v>-493.06307499999991</v>
      </c>
      <c r="P7" s="3">
        <f>IF(OR($B7="",P$3=""),"",IF('Mass Ion Calculations'!$D$6="Yes",IF('Mass Ion Calculations'!$D$7="Yes",('Mass Ion Calculations'!$D$18+'AA Exact Masses'!$Q$3+'AA Exact Masses'!$Q$2-'Mass Ion Calculations'!$C$19-'Mass Ion Calculations'!$C8)/2-'Mass Ion Calculations'!$D$5,('Mass Ion Calculations'!$F$18+'AA Exact Masses'!$Q$3+'AA Exact Masses'!$Q$2-'Mass Ion Calculations'!$E$19-'Mass Ion Calculations'!$E8)/2-'Mass Ion Calculations'!$D$5),IF('Mass Ion Calculations'!$D$7="Yes", ('Mass Ion Calculations'!$D$15+'AA Exact Masses'!$Q$3+'AA Exact Masses'!$Q$2-'Mass Ion Calculations'!$C$19-'Mass Ion Calculations'!$C8)/2-'Mass Ion Calculations'!$D$5,('Mass Ion Calculations'!$F$15+'AA Exact Masses'!$Q$3+'AA Exact Masses'!$Q$2-'Mass Ion Calculations'!$E$19-'Mass Ion Calculations'!$E8)/2-'Mass Ion Calculations'!$D$5)))</f>
        <v>-406.11474999999996</v>
      </c>
      <c r="Q7" s="3">
        <f>IF(OR($B7="",Q$3=""),"",IF('Mass Ion Calculations'!$D$6="Yes",IF('Mass Ion Calculations'!$D$7="Yes",('Mass Ion Calculations'!$D$18+'AA Exact Masses'!$Q$3+'AA Exact Masses'!$Q$2-'Mass Ion Calculations'!$C$20-'Mass Ion Calculations'!$C8)/2-'Mass Ion Calculations'!$D$5,('Mass Ion Calculations'!$F$18+'AA Exact Masses'!$Q$3+'AA Exact Masses'!$Q$2-'Mass Ion Calculations'!$E$20-'Mass Ion Calculations'!$E8)/2-'Mass Ion Calculations'!$D$5),IF('Mass Ion Calculations'!$D$7="Yes", ('Mass Ion Calculations'!$D$15+'AA Exact Masses'!$Q$3+'AA Exact Masses'!$Q$2-'Mass Ion Calculations'!$C$20-'Mass Ion Calculations'!$C8)/2-'Mass Ion Calculations'!$D$5,('Mass Ion Calculations'!$F$15+'AA Exact Masses'!$Q$3+'AA Exact Masses'!$Q$2-'Mass Ion Calculations'!$E$20-'Mass Ion Calculations'!$E8)/2-'Mass Ion Calculations'!$D$5)))</f>
        <v>-413.12257499999987</v>
      </c>
      <c r="R7" s="3" t="e">
        <f>IF(OR($B7="",R$3=""),"",IF('Mass Ion Calculations'!$D$6="Yes",IF('Mass Ion Calculations'!$D$7="Yes",('Mass Ion Calculations'!$D$18+'AA Exact Masses'!$Q$3+'AA Exact Masses'!$Q$2-'Mass Ion Calculations'!$C$21-'Mass Ion Calculations'!$C8)/2-'Mass Ion Calculations'!$D$5,('Mass Ion Calculations'!$F$18+'AA Exact Masses'!$Q$3+'AA Exact Masses'!$Q$2-'Mass Ion Calculations'!$E$21-'Mass Ion Calculations'!$E8)/2-'Mass Ion Calculations'!$D$5),IF('Mass Ion Calculations'!$D$7="Yes", ('Mass Ion Calculations'!$D$15+'AA Exact Masses'!$Q$3+'AA Exact Masses'!$Q$2-'Mass Ion Calculations'!$C$21-'Mass Ion Calculations'!$C8)/2-'Mass Ion Calculations'!$D$5,('Mass Ion Calculations'!$F$15+'AA Exact Masses'!$Q$3+'AA Exact Masses'!$Q$2-'Mass Ion Calculations'!$E$21-'Mass Ion Calculations'!$E8)/2-'Mass Ion Calculations'!$D$5)))</f>
        <v>#VALUE!</v>
      </c>
      <c r="S7" s="3" t="str">
        <f>IF(OR($B7="",S$3=""),"",IF('Mass Ion Calculations'!$D$6="Yes",IF('Mass Ion Calculations'!$D$7="Yes",('Mass Ion Calculations'!$D$18+'AA Exact Masses'!$Q$3+'AA Exact Masses'!$Q$2-'Mass Ion Calculations'!$C$22-'Mass Ion Calculations'!$C8)/2-'Mass Ion Calculations'!$D$5,('Mass Ion Calculations'!$F$18+'AA Exact Masses'!$Q$3+'AA Exact Masses'!$Q$2-'Mass Ion Calculations'!$E$22-'Mass Ion Calculations'!$E8)/2-'Mass Ion Calculations'!$D$5),IF('Mass Ion Calculations'!$D$7="Yes", ('Mass Ion Calculations'!$D$15+'AA Exact Masses'!$Q$3+'AA Exact Masses'!$Q$2-'Mass Ion Calculations'!$C$22-'Mass Ion Calculations'!$C8)/2-'Mass Ion Calculations'!$D$5,('Mass Ion Calculations'!$F$15+'AA Exact Masses'!$Q$3+'AA Exact Masses'!$Q$2-'Mass Ion Calculations'!$E$22-'Mass Ion Calculations'!$E8)/2-'Mass Ion Calculations'!$D$5)))</f>
        <v/>
      </c>
      <c r="T7" s="3" t="e">
        <f>IF(OR($B7="",T$3=""),"",IF('Mass Ion Calculations'!$D$6="Yes",IF('Mass Ion Calculations'!$D$7="Yes",('Mass Ion Calculations'!$D$18+'AA Exact Masses'!$Q$3+'AA Exact Masses'!$Q$2-'Mass Ion Calculations'!$C$22-'Mass Ion Calculations'!$C8)/2-'Mass Ion Calculations'!$D$5,('Mass Ion Calculations'!$F$18+'AA Exact Masses'!$Q$3+'AA Exact Masses'!$Q$2-'Mass Ion Calculations'!$E$22-'Mass Ion Calculations'!$E8)/2-'Mass Ion Calculations'!$D$5),IF('Mass Ion Calculations'!$D$7="Yes", ('Mass Ion Calculations'!$D$15+'AA Exact Masses'!$Q$3+'AA Exact Masses'!$Q$2-'Mass Ion Calculations'!$C$22-'Mass Ion Calculations'!$C8)/2-'Mass Ion Calculations'!$D$5,('Mass Ion Calculations'!$F$15+'AA Exact Masses'!$Q$3+'AA Exact Masses'!$Q$2-'Mass Ion Calculations'!$E$22-'Mass Ion Calculations'!$E8)/2-'Mass Ion Calculations'!$D$5)))</f>
        <v>#VALUE!</v>
      </c>
      <c r="U7" s="3" t="e">
        <f>IF(OR($B7="",U$3=""),"",IF('Mass Ion Calculations'!$D$6="Yes",IF('Mass Ion Calculations'!$D$7="Yes",('Mass Ion Calculations'!$D$18+'AA Exact Masses'!$Q$3+'AA Exact Masses'!$Q$2-'Mass Ion Calculations'!$C$23-'Mass Ion Calculations'!$C8)/2-'Mass Ion Calculations'!$D$5,('Mass Ion Calculations'!$F$18+'AA Exact Masses'!$Q$3+'AA Exact Masses'!$Q$2-'Mass Ion Calculations'!$E$23-'Mass Ion Calculations'!$E8)/2-'Mass Ion Calculations'!$D$5),IF('Mass Ion Calculations'!$D$7="Yes", ('Mass Ion Calculations'!$D$15+'AA Exact Masses'!$Q$3+'AA Exact Masses'!$Q$2-'Mass Ion Calculations'!$C$23-'Mass Ion Calculations'!$C8)/2-'Mass Ion Calculations'!$D$5,('Mass Ion Calculations'!$F$15+'AA Exact Masses'!$Q$3+'AA Exact Masses'!$Q$2-'Mass Ion Calculations'!$E$23-'Mass Ion Calculations'!$E8)/2-'Mass Ion Calculations'!$D$5)))</f>
        <v>#VALUE!</v>
      </c>
      <c r="V7" s="3" t="str">
        <f>IF(OR($B7="",V$3=""),"",IF('Mass Ion Calculations'!$D$6="Yes",IF('Mass Ion Calculations'!$D$7="Yes",('Mass Ion Calculations'!$D$18+'AA Exact Masses'!$Q$3+'AA Exact Masses'!$Q$2-'Mass Ion Calculations'!$C$24-'Mass Ion Calculations'!$C8)/2-'Mass Ion Calculations'!$D$5,('Mass Ion Calculations'!$F$18+'AA Exact Masses'!$Q$3+'AA Exact Masses'!$Q$2-'Mass Ion Calculations'!$E$24-'Mass Ion Calculations'!$E8)/2-'Mass Ion Calculations'!$D$5),IF('Mass Ion Calculations'!$D$7="Yes", ('Mass Ion Calculations'!$D$15+'AA Exact Masses'!$Q$3+'AA Exact Masses'!$Q$2-'Mass Ion Calculations'!$C$24-'Mass Ion Calculations'!$C8)/2-'Mass Ion Calculations'!$D$5,('Mass Ion Calculations'!$F$15+'AA Exact Masses'!$Q$3+'AA Exact Masses'!$Q$2-'Mass Ion Calculations'!$E$24-'Mass Ion Calculations'!$E8)/2-'Mass Ion Calculations'!$D$5)))</f>
        <v/>
      </c>
      <c r="W7" s="3" t="str">
        <f>IF(OR($B7="",W$3=""),"",IF('Mass Ion Calculations'!$D$6="Yes",IF('Mass Ion Calculations'!$D$7="Yes",('Mass Ion Calculations'!$D$18+'AA Exact Masses'!$Q$3+'AA Exact Masses'!$Q$2-'Mass Ion Calculations'!$C$25-'Mass Ion Calculations'!$C8)/2-'Mass Ion Calculations'!$D$5,('Mass Ion Calculations'!$F$18+'AA Exact Masses'!$Q$3+'AA Exact Masses'!$Q$2-'Mass Ion Calculations'!$E$25-'Mass Ion Calculations'!$E8)/2-'Mass Ion Calculations'!$D$5),IF('Mass Ion Calculations'!$D$7="Yes", ('Mass Ion Calculations'!$D$15+'AA Exact Masses'!$Q$3+'AA Exact Masses'!$Q$2-'Mass Ion Calculations'!$C$25-'Mass Ion Calculations'!$C8)/2-'Mass Ion Calculations'!$D$5,('Mass Ion Calculations'!$F$15+'AA Exact Masses'!$Q$3+'AA Exact Masses'!$Q$2-'Mass Ion Calculations'!$E$25-'Mass Ion Calculations'!$E8)/2-'Mass Ion Calculations'!$D$5)))</f>
        <v/>
      </c>
      <c r="X7" s="3" t="str">
        <f>IF(OR($B7="",X$3=""),"",IF('Mass Ion Calculations'!$D$6="Yes",IF('Mass Ion Calculations'!$D$7="Yes",('Mass Ion Calculations'!$D$18+'AA Exact Masses'!$Q$3+'AA Exact Masses'!$Q$2-'Mass Ion Calculations'!$C$26-'Mass Ion Calculations'!$C8)/2-'Mass Ion Calculations'!$D$5,('Mass Ion Calculations'!$F$18+'AA Exact Masses'!$Q$3+'AA Exact Masses'!$Q$2-'Mass Ion Calculations'!$E$26-'Mass Ion Calculations'!$E8)/2-'Mass Ion Calculations'!$D$5),IF('Mass Ion Calculations'!$D$7="Yes", ('Mass Ion Calculations'!$D$15+'AA Exact Masses'!$Q$3+'AA Exact Masses'!$Q$2-'Mass Ion Calculations'!$C$26-'Mass Ion Calculations'!$C8)/2-'Mass Ion Calculations'!$D$5,('Mass Ion Calculations'!$F$15+'AA Exact Masses'!$Q$3+'AA Exact Masses'!$Q$2-'Mass Ion Calculations'!$E$26-'Mass Ion Calculations'!$E8)/2-'Mass Ion Calculations'!$D$5)))</f>
        <v/>
      </c>
      <c r="Y7" s="3" t="str">
        <f>IF(OR($B7="",Y$3=""),"",IF('Mass Ion Calculations'!$D$6="Yes",IF('Mass Ion Calculations'!$D$7="Yes",('Mass Ion Calculations'!$D$18+'AA Exact Masses'!$Q$3+'AA Exact Masses'!$Q$2-'Mass Ion Calculations'!$C$27-'Mass Ion Calculations'!$C8)/2-'Mass Ion Calculations'!$D$5,('Mass Ion Calculations'!$F$18+'AA Exact Masses'!$Q$3+'AA Exact Masses'!$Q$2-'Mass Ion Calculations'!$E$27-'Mass Ion Calculations'!$E8)/2-'Mass Ion Calculations'!$D$5),IF('Mass Ion Calculations'!$D$7="Yes", ('Mass Ion Calculations'!$D$15+'AA Exact Masses'!$Q$3+'AA Exact Masses'!$Q$2-'Mass Ion Calculations'!$C$27-'Mass Ion Calculations'!$C8)/2-'Mass Ion Calculations'!$D$5,('Mass Ion Calculations'!$F$15+'AA Exact Masses'!$Q$3+'AA Exact Masses'!$Q$2-'Mass Ion Calculations'!$E$27-'Mass Ion Calculations'!$E8)/2-'Mass Ion Calculations'!$D$5)))</f>
        <v/>
      </c>
      <c r="Z7" s="3" t="str">
        <f>IF(OR($B7="",Z$3=""),"",IF('Mass Ion Calculations'!$D$6="Yes",IF('Mass Ion Calculations'!$D$7="Yes",('Mass Ion Calculations'!$D$18+'AA Exact Masses'!$Q$3+'AA Exact Masses'!$Q$2-'Mass Ion Calculations'!$C$28-'Mass Ion Calculations'!$C8)/2-'Mass Ion Calculations'!$D$5,('Mass Ion Calculations'!$F$18+'AA Exact Masses'!$Q$3+'AA Exact Masses'!$Q$2-'Mass Ion Calculations'!$E$28-'Mass Ion Calculations'!$E8)/2-'Mass Ion Calculations'!$D$5),IF('Mass Ion Calculations'!$D$7="Yes", ('Mass Ion Calculations'!$D$15+'AA Exact Masses'!$Q$3+'AA Exact Masses'!$Q$2-'Mass Ion Calculations'!$C$28-'Mass Ion Calculations'!$C8)/2-'Mass Ion Calculations'!$D$5,('Mass Ion Calculations'!$F$15+'AA Exact Masses'!$Q$3+'AA Exact Masses'!$Q$2-'Mass Ion Calculations'!$E$28-'Mass Ion Calculations'!$E8)/2-'Mass Ion Calculations'!$D$5)))</f>
        <v/>
      </c>
    </row>
    <row r="8" spans="2:26" x14ac:dyDescent="0.25">
      <c r="B8" s="4" t="str">
        <f>IF('Mass Ion Calculations'!B9="","", 'Mass Ion Calculations'!B9)</f>
        <v>N-Meth-Gly</v>
      </c>
      <c r="C8" s="3">
        <f>IF(OR($B8="",C$3=""),"",IF('Mass Ion Calculations'!$D$6="Yes",IF('Mass Ion Calculations'!$D$7="Yes",('Mass Ion Calculations'!$D$18+'AA Exact Masses'!$Q$3+'AA Exact Masses'!$Q$2-'Mass Ion Calculations'!$C$5-'Mass Ion Calculations'!$C9)/2-'Mass Ion Calculations'!$D$5,('Mass Ion Calculations'!$F$18+'AA Exact Masses'!$Q$3+'AA Exact Masses'!$Q$2-'Mass Ion Calculations'!$E$5-'Mass Ion Calculations'!$E9)/2-'Mass Ion Calculations'!$D$5),IF('Mass Ion Calculations'!$D$7="Yes", ('Mass Ion Calculations'!$D$15+'AA Exact Masses'!$Q$3+'AA Exact Masses'!$Q$2-'Mass Ion Calculations'!$C$5-'Mass Ion Calculations'!$C9)/2-'Mass Ion Calculations'!$D$5,('Mass Ion Calculations'!$F$15+'AA Exact Masses'!$Q$3+'AA Exact Masses'!$Q$2-'Mass Ion Calculations'!$E$5-'Mass Ion Calculations'!$E9)/2-'Mass Ion Calculations'!$D$5)))</f>
        <v>-392.59672999999998</v>
      </c>
      <c r="D8" s="3">
        <f>IF(OR($B8="",D$3=""),"",IF('Mass Ion Calculations'!$D$6="Yes",IF('Mass Ion Calculations'!$D$7="Yes",('Mass Ion Calculations'!$D$18+'AA Exact Masses'!$Q$3+'AA Exact Masses'!$Q$2-'Mass Ion Calculations'!$C$6-'Mass Ion Calculations'!$C9)/2-'Mass Ion Calculations'!$D$5,('Mass Ion Calculations'!$F$18+'AA Exact Masses'!$Q$3+'AA Exact Masses'!$Q$2-'Mass Ion Calculations'!$E$6-'Mass Ion Calculations'!$E9)/2-'Mass Ion Calculations'!$D$5),IF('Mass Ion Calculations'!$D$7="Yes", ('Mass Ion Calculations'!$D$15+'AA Exact Masses'!$Q$3+'AA Exact Masses'!$Q$2-'Mass Ion Calculations'!$C$6-'Mass Ion Calculations'!$C9)/2-'Mass Ion Calculations'!$D$5,('Mass Ion Calculations'!$F$15+'AA Exact Masses'!$Q$3+'AA Exact Masses'!$Q$2-'Mass Ion Calculations'!$E$6-'Mass Ion Calculations'!$E9)/2-'Mass Ion Calculations'!$D$5)))</f>
        <v>-371.07562499999995</v>
      </c>
      <c r="E8" s="3">
        <f>IF(OR($B8="",E$3=""),"",IF('Mass Ion Calculations'!$D$6="Yes",IF('Mass Ion Calculations'!$D$7="Yes",('Mass Ion Calculations'!$D$18+'AA Exact Masses'!$Q$3+'AA Exact Masses'!$Q$2-'Mass Ion Calculations'!$C$7-'Mass Ion Calculations'!$C9)/2-'Mass Ion Calculations'!$D$5,('Mass Ion Calculations'!$F$18+'AA Exact Masses'!$Q$3+'AA Exact Masses'!$Q$2-'Mass Ion Calculations'!$E$7-'Mass Ion Calculations'!$E9)/2-'Mass Ion Calculations'!$D$5),IF('Mass Ion Calculations'!$D$7="Yes", ('Mass Ion Calculations'!$D$15+'AA Exact Masses'!$Q$3+'AA Exact Masses'!$Q$2-'Mass Ion Calculations'!$C$7-'Mass Ion Calculations'!$C9)/2-'Mass Ion Calculations'!$D$5,('Mass Ion Calculations'!$F$15+'AA Exact Masses'!$Q$3+'AA Exact Masses'!$Q$2-'Mass Ion Calculations'!$E$7-'Mass Ion Calculations'!$E9)/2-'Mass Ion Calculations'!$D$5)))</f>
        <v>-392.09909999999991</v>
      </c>
      <c r="F8" s="3">
        <f>IF(OR($B8="",F$3=""),"",IF('Mass Ion Calculations'!$D$6="Yes",IF('Mass Ion Calculations'!$D$7="Yes",('Mass Ion Calculations'!$D$18+'AA Exact Masses'!$Q$3+'AA Exact Masses'!$Q$2-'Mass Ion Calculations'!$C$8-'Mass Ion Calculations'!$C9)/2-'Mass Ion Calculations'!$D$5,('Mass Ion Calculations'!$F$18+'AA Exact Masses'!$Q$3+'AA Exact Masses'!$Q$2-'Mass Ion Calculations'!$E$8-'Mass Ion Calculations'!$E9)/2-'Mass Ion Calculations'!$D$5),IF('Mass Ion Calculations'!$D$7="Yes", ('Mass Ion Calculations'!$D$15+'AA Exact Masses'!$Q$3+'AA Exact Masses'!$Q$2-'Mass Ion Calculations'!$C$8-'Mass Ion Calculations'!$C9)/2-'Mass Ion Calculations'!$D$5,('Mass Ion Calculations'!$F$15+'AA Exact Masses'!$Q$3+'AA Exact Masses'!$Q$2-'Mass Ion Calculations'!$E$8-'Mass Ion Calculations'!$E9)/2-'Mass Ion Calculations'!$D$5)))</f>
        <v>-392.09909999999991</v>
      </c>
      <c r="G8" s="3">
        <f>IF(OR($B8="",G$3=""),"",IF('Mass Ion Calculations'!$D$6="Yes",IF('Mass Ion Calculations'!$D$7="Yes",('Mass Ion Calculations'!$D$18+'AA Exact Masses'!$Q$3+'AA Exact Masses'!$Q$2-'Mass Ion Calculations'!$C$9-'Mass Ion Calculations'!$C9)/2-'Mass Ion Calculations'!$D$5,('Mass Ion Calculations'!$F$18+'AA Exact Masses'!$Q$3+'AA Exact Masses'!$Q$2-'Mass Ion Calculations'!$E$9-'Mass Ion Calculations'!$E9)/2-'Mass Ion Calculations'!$D$5),IF('Mass Ion Calculations'!$D$7="Yes", ('Mass Ion Calculations'!$D$15+'AA Exact Masses'!$Q$3+'AA Exact Masses'!$Q$2-'Mass Ion Calculations'!$C$9-'Mass Ion Calculations'!$C9)/2-'Mass Ion Calculations'!$D$5,('Mass Ion Calculations'!$F$15+'AA Exact Masses'!$Q$3+'AA Exact Masses'!$Q$2-'Mass Ion Calculations'!$E$9-'Mass Ion Calculations'!$E9)/2-'Mass Ion Calculations'!$D$5)))</f>
        <v>-371.07562499999995</v>
      </c>
      <c r="H8" s="3">
        <f>IF(OR($B8="",H$3=""),"",IF('Mass Ion Calculations'!$D$6="Yes",IF('Mass Ion Calculations'!$D$7="Yes",('Mass Ion Calculations'!$D$18+'AA Exact Masses'!$Q$3+'AA Exact Masses'!$Q$2-'Mass Ion Calculations'!$C$10-'Mass Ion Calculations'!$C9)/2-'Mass Ion Calculations'!$D$5,('Mass Ion Calculations'!$F$18+'AA Exact Masses'!$Q$3+'AA Exact Masses'!$Q$2-'Mass Ion Calculations'!$E$10-'Mass Ion Calculations'!$E9)/2-'Mass Ion Calculations'!$D$5),IF('Mass Ion Calculations'!$D$7="Yes", ('Mass Ion Calculations'!$D$15+'AA Exact Masses'!$Q$3+'AA Exact Masses'!$Q$2-'Mass Ion Calculations'!$C$10-'Mass Ion Calculations'!$C9)/2-'Mass Ion Calculations'!$D$5,('Mass Ion Calculations'!$F$15+'AA Exact Masses'!$Q$3+'AA Exact Masses'!$Q$2-'Mass Ion Calculations'!$E$10-'Mass Ion Calculations'!$E9)/2-'Mass Ion Calculations'!$D$5)))</f>
        <v>-392.09909999999991</v>
      </c>
      <c r="I8" s="3">
        <f>IF(OR($B8="",I$3=""),"",IF('Mass Ion Calculations'!$D$6="Yes",IF('Mass Ion Calculations'!$D$7="Yes",('Mass Ion Calculations'!$D$18+'AA Exact Masses'!$Q$3+'AA Exact Masses'!$Q$2-'Mass Ion Calculations'!$C$11-'Mass Ion Calculations'!$C9)/2-'Mass Ion Calculations'!$D$5,('Mass Ion Calculations'!$F$18+'AA Exact Masses'!$Q$3+'AA Exact Masses'!$Q$2-'Mass Ion Calculations'!$E$11-'Mass Ion Calculations'!$E9)/2-'Mass Ion Calculations'!$D$5),IF('Mass Ion Calculations'!$D$7="Yes", ('Mass Ion Calculations'!$D$15+'AA Exact Masses'!$Q$3+'AA Exact Masses'!$Q$2-'Mass Ion Calculations'!$C$11-'Mass Ion Calculations'!$C9)/2-'Mass Ion Calculations'!$D$5,('Mass Ion Calculations'!$F$15+'AA Exact Masses'!$Q$3+'AA Exact Masses'!$Q$2-'Mass Ion Calculations'!$E$11-'Mass Ion Calculations'!$E9)/2-'Mass Ion Calculations'!$D$5)))</f>
        <v>-392.59672999999998</v>
      </c>
      <c r="J8" s="3">
        <f>IF(OR($B8="",J$3=""),"",IF('Mass Ion Calculations'!$D$6="Yes",IF('Mass Ion Calculations'!$D$7="Yes",('Mass Ion Calculations'!$D$18+'AA Exact Masses'!$Q$3+'AA Exact Masses'!$Q$2-'Mass Ion Calculations'!$C$12-'Mass Ion Calculations'!$C9)/2-'Mass Ion Calculations'!$D$5,('Mass Ion Calculations'!$F$18+'AA Exact Masses'!$Q$3+'AA Exact Masses'!$Q$2-'Mass Ion Calculations'!$E$12-'Mass Ion Calculations'!$E9)/2-'Mass Ion Calculations'!$D$5),IF('Mass Ion Calculations'!$D$7="Yes", ('Mass Ion Calculations'!$D$15+'AA Exact Masses'!$Q$3+'AA Exact Masses'!$Q$2-'Mass Ion Calculations'!$C$12-'Mass Ion Calculations'!$C9)/2-'Mass Ion Calculations'!$D$5,('Mass Ion Calculations'!$F$15+'AA Exact Masses'!$Q$3+'AA Exact Masses'!$Q$2-'Mass Ion Calculations'!$E$12-'Mass Ion Calculations'!$E9)/2-'Mass Ion Calculations'!$D$5)))</f>
        <v>-385.091275</v>
      </c>
      <c r="K8" s="3">
        <f>IF(OR($B8="",K$3=""),"",IF('Mass Ion Calculations'!$D$6="Yes",IF('Mass Ion Calculations'!$D$7="Yes",('Mass Ion Calculations'!$D$18+'AA Exact Masses'!$Q$3+'AA Exact Masses'!$Q$2-'Mass Ion Calculations'!$C$13-'Mass Ion Calculations'!$C9)/2-'Mass Ion Calculations'!$D$5,('Mass Ion Calculations'!$F$18+'AA Exact Masses'!$Q$3+'AA Exact Masses'!$Q$2-'Mass Ion Calculations'!$E$14-'Mass Ion Calculations'!$E9)/2-'Mass Ion Calculations'!$D$5),IF('Mass Ion Calculations'!$D$7="Yes", ('Mass Ion Calculations'!$D$15+'AA Exact Masses'!$Q$3+'AA Exact Masses'!$Q$2-'Mass Ion Calculations'!$C$13-'Mass Ion Calculations'!$C9)/2-'Mass Ion Calculations'!$D$5,('Mass Ion Calculations'!$F$15+'AA Exact Masses'!$Q$3+'AA Exact Masses'!$Q$2-'Mass Ion Calculations'!$E$14-'Mass Ion Calculations'!$E9)/2-'Mass Ion Calculations'!$D$5)))</f>
        <v>-400.07836499999996</v>
      </c>
      <c r="L8" s="3">
        <f>IF(OR($B8="",L$3=""),"",IF('Mass Ion Calculations'!$D$6="Yes",IF('Mass Ion Calculations'!$D$7="Yes",('Mass Ion Calculations'!$D$18+'AA Exact Masses'!$Q$3+'AA Exact Masses'!$Q$2-'Mass Ion Calculations'!$C$14-'Mass Ion Calculations'!$C9)/2-'Mass Ion Calculations'!$D$5,('Mass Ion Calculations'!$F$18+'AA Exact Masses'!$Q$3+'AA Exact Masses'!$Q$2-'Mass Ion Calculations'!$E$15-'Mass Ion Calculations'!$E9)/2-'Mass Ion Calculations'!$D$5),IF('Mass Ion Calculations'!$D$7="Yes", ('Mass Ion Calculations'!$D$15+'AA Exact Masses'!$Q$3+'AA Exact Masses'!$Q$2-'Mass Ion Calculations'!$C$14-'Mass Ion Calculations'!$C9)/2-'Mass Ion Calculations'!$D$5,('Mass Ion Calculations'!$F$15+'AA Exact Masses'!$Q$3+'AA Exact Masses'!$Q$2-'Mass Ion Calculations'!$E$15-'Mass Ion Calculations'!$E9)/2-'Mass Ion Calculations'!$D$5)))</f>
        <v>-393.07053999999994</v>
      </c>
      <c r="M8" s="3">
        <f>IF(OR($B8="",M$3=""),"",IF('Mass Ion Calculations'!$D$6="Yes",IF('Mass Ion Calculations'!$D$7="Yes",('Mass Ion Calculations'!$D$18+'AA Exact Masses'!$Q$3+'AA Exact Masses'!$Q$2-'Mass Ion Calculations'!$C$15-'Mass Ion Calculations'!$C9)/2-'Mass Ion Calculations'!$D$5,('Mass Ion Calculations'!$F$18+'AA Exact Masses'!$Q$3+'AA Exact Masses'!$Q$2-'Mass Ion Calculations'!$E$16-'Mass Ion Calculations'!$E9)/2-'Mass Ion Calculations'!$D$5),IF('Mass Ion Calculations'!$D$7="Yes", ('Mass Ion Calculations'!$D$15+'AA Exact Masses'!$Q$3+'AA Exact Masses'!$Q$2-'Mass Ion Calculations'!$C$15-'Mass Ion Calculations'!$C9)/2-'Mass Ion Calculations'!$D$5,('Mass Ion Calculations'!$F$15+'AA Exact Masses'!$Q$3+'AA Exact Masses'!$Q$2-'Mass Ion Calculations'!$E$16-'Mass Ion Calculations'!$E9)/2-'Mass Ion Calculations'!$D$5)))</f>
        <v>-371.07562499999995</v>
      </c>
      <c r="N8" s="3">
        <f>IF(OR($B8="",N$3=""),"",IF('Mass Ion Calculations'!$D$6="Yes",IF('Mass Ion Calculations'!$D$7="Yes",('Mass Ion Calculations'!$D$18+'AA Exact Masses'!$Q$3+'AA Exact Masses'!$Q$2-'Mass Ion Calculations'!$C$16-'Mass Ion Calculations'!$C9)/2-'Mass Ion Calculations'!$D$5,('Mass Ion Calculations'!$F$18+'AA Exact Masses'!$Q$3+'AA Exact Masses'!$Q$2-'Mass Ion Calculations'!$E$17-'Mass Ion Calculations'!$E9)/2-'Mass Ion Calculations'!$D$5),IF('Mass Ion Calculations'!$D$7="Yes", ('Mass Ion Calculations'!$D$15+'AA Exact Masses'!$Q$3+'AA Exact Masses'!$Q$2-'Mass Ion Calculations'!$C$16-'Mass Ion Calculations'!$C9)/2-'Mass Ion Calculations'!$D$5,('Mass Ion Calculations'!$F$15+'AA Exact Masses'!$Q$3+'AA Exact Masses'!$Q$2-'Mass Ion Calculations'!$E$17-'Mass Ion Calculations'!$E9)/2-'Mass Ion Calculations'!$D$5)))</f>
        <v>-409.091275</v>
      </c>
      <c r="O8" s="3">
        <f>IF(OR($B8="",O$3=""),"",IF('Mass Ion Calculations'!$D$6="Yes",IF('Mass Ion Calculations'!$D$7="Yes",('Mass Ion Calculations'!$D$18+'AA Exact Masses'!$Q$3+'AA Exact Masses'!$Q$2-'Mass Ion Calculations'!$C$17-'Mass Ion Calculations'!$C9)/2-'Mass Ion Calculations'!$D$5,('Mass Ion Calculations'!$F$18+'AA Exact Masses'!$Q$3+'AA Exact Masses'!$Q$2-'Mass Ion Calculations'!$E$18-'Mass Ion Calculations'!$E9)/2-'Mass Ion Calculations'!$D$5),IF('Mass Ion Calculations'!$D$7="Yes", ('Mass Ion Calculations'!$D$15+'AA Exact Masses'!$Q$3+'AA Exact Masses'!$Q$2-'Mass Ion Calculations'!$C$17-'Mass Ion Calculations'!$C9)/2-'Mass Ion Calculations'!$D$5,('Mass Ion Calculations'!$F$15+'AA Exact Masses'!$Q$3+'AA Exact Masses'!$Q$2-'Mass Ion Calculations'!$E$18-'Mass Ion Calculations'!$E9)/2-'Mass Ion Calculations'!$D$5)))</f>
        <v>-472.03959999999995</v>
      </c>
      <c r="P8" s="3">
        <f>IF(OR($B8="",P$3=""),"",IF('Mass Ion Calculations'!$D$6="Yes",IF('Mass Ion Calculations'!$D$7="Yes",('Mass Ion Calculations'!$D$18+'AA Exact Masses'!$Q$3+'AA Exact Masses'!$Q$2-'Mass Ion Calculations'!$C$19-'Mass Ion Calculations'!$C9)/2-'Mass Ion Calculations'!$D$5,('Mass Ion Calculations'!$F$18+'AA Exact Masses'!$Q$3+'AA Exact Masses'!$Q$2-'Mass Ion Calculations'!$E$19-'Mass Ion Calculations'!$E9)/2-'Mass Ion Calculations'!$D$5),IF('Mass Ion Calculations'!$D$7="Yes", ('Mass Ion Calculations'!$D$15+'AA Exact Masses'!$Q$3+'AA Exact Masses'!$Q$2-'Mass Ion Calculations'!$C$19-'Mass Ion Calculations'!$C9)/2-'Mass Ion Calculations'!$D$5,('Mass Ion Calculations'!$F$15+'AA Exact Masses'!$Q$3+'AA Exact Masses'!$Q$2-'Mass Ion Calculations'!$E$19-'Mass Ion Calculations'!$E9)/2-'Mass Ion Calculations'!$D$5)))</f>
        <v>-385.091275</v>
      </c>
      <c r="Q8" s="3">
        <f>IF(OR($B8="",Q$3=""),"",IF('Mass Ion Calculations'!$D$6="Yes",IF('Mass Ion Calculations'!$D$7="Yes",('Mass Ion Calculations'!$D$18+'AA Exact Masses'!$Q$3+'AA Exact Masses'!$Q$2-'Mass Ion Calculations'!$C$20-'Mass Ion Calculations'!$C9)/2-'Mass Ion Calculations'!$D$5,('Mass Ion Calculations'!$F$18+'AA Exact Masses'!$Q$3+'AA Exact Masses'!$Q$2-'Mass Ion Calculations'!$E$20-'Mass Ion Calculations'!$E9)/2-'Mass Ion Calculations'!$D$5),IF('Mass Ion Calculations'!$D$7="Yes", ('Mass Ion Calculations'!$D$15+'AA Exact Masses'!$Q$3+'AA Exact Masses'!$Q$2-'Mass Ion Calculations'!$C$20-'Mass Ion Calculations'!$C9)/2-'Mass Ion Calculations'!$D$5,('Mass Ion Calculations'!$F$15+'AA Exact Masses'!$Q$3+'AA Exact Masses'!$Q$2-'Mass Ion Calculations'!$E$20-'Mass Ion Calculations'!$E9)/2-'Mass Ion Calculations'!$D$5)))</f>
        <v>-392.09909999999991</v>
      </c>
      <c r="R8" s="3" t="e">
        <f>IF(OR($B8="",R$3=""),"",IF('Mass Ion Calculations'!$D$6="Yes",IF('Mass Ion Calculations'!$D$7="Yes",('Mass Ion Calculations'!$D$18+'AA Exact Masses'!$Q$3+'AA Exact Masses'!$Q$2-'Mass Ion Calculations'!$C$21-'Mass Ion Calculations'!$C9)/2-'Mass Ion Calculations'!$D$5,('Mass Ion Calculations'!$F$18+'AA Exact Masses'!$Q$3+'AA Exact Masses'!$Q$2-'Mass Ion Calculations'!$E$21-'Mass Ion Calculations'!$E9)/2-'Mass Ion Calculations'!$D$5),IF('Mass Ion Calculations'!$D$7="Yes", ('Mass Ion Calculations'!$D$15+'AA Exact Masses'!$Q$3+'AA Exact Masses'!$Q$2-'Mass Ion Calculations'!$C$21-'Mass Ion Calculations'!$C9)/2-'Mass Ion Calculations'!$D$5,('Mass Ion Calculations'!$F$15+'AA Exact Masses'!$Q$3+'AA Exact Masses'!$Q$2-'Mass Ion Calculations'!$E$21-'Mass Ion Calculations'!$E9)/2-'Mass Ion Calculations'!$D$5)))</f>
        <v>#VALUE!</v>
      </c>
      <c r="S8" s="3" t="str">
        <f>IF(OR($B8="",S$3=""),"",IF('Mass Ion Calculations'!$D$6="Yes",IF('Mass Ion Calculations'!$D$7="Yes",('Mass Ion Calculations'!$D$18+'AA Exact Masses'!$Q$3+'AA Exact Masses'!$Q$2-'Mass Ion Calculations'!$C$22-'Mass Ion Calculations'!$C9)/2-'Mass Ion Calculations'!$D$5,('Mass Ion Calculations'!$F$18+'AA Exact Masses'!$Q$3+'AA Exact Masses'!$Q$2-'Mass Ion Calculations'!$E$22-'Mass Ion Calculations'!$E9)/2-'Mass Ion Calculations'!$D$5),IF('Mass Ion Calculations'!$D$7="Yes", ('Mass Ion Calculations'!$D$15+'AA Exact Masses'!$Q$3+'AA Exact Masses'!$Q$2-'Mass Ion Calculations'!$C$22-'Mass Ion Calculations'!$C9)/2-'Mass Ion Calculations'!$D$5,('Mass Ion Calculations'!$F$15+'AA Exact Masses'!$Q$3+'AA Exact Masses'!$Q$2-'Mass Ion Calculations'!$E$22-'Mass Ion Calculations'!$E9)/2-'Mass Ion Calculations'!$D$5)))</f>
        <v/>
      </c>
      <c r="T8" s="3" t="e">
        <f>IF(OR($B8="",T$3=""),"",IF('Mass Ion Calculations'!$D$6="Yes",IF('Mass Ion Calculations'!$D$7="Yes",('Mass Ion Calculations'!$D$18+'AA Exact Masses'!$Q$3+'AA Exact Masses'!$Q$2-'Mass Ion Calculations'!$C$22-'Mass Ion Calculations'!$C9)/2-'Mass Ion Calculations'!$D$5,('Mass Ion Calculations'!$F$18+'AA Exact Masses'!$Q$3+'AA Exact Masses'!$Q$2-'Mass Ion Calculations'!$E$22-'Mass Ion Calculations'!$E9)/2-'Mass Ion Calculations'!$D$5),IF('Mass Ion Calculations'!$D$7="Yes", ('Mass Ion Calculations'!$D$15+'AA Exact Masses'!$Q$3+'AA Exact Masses'!$Q$2-'Mass Ion Calculations'!$C$22-'Mass Ion Calculations'!$C9)/2-'Mass Ion Calculations'!$D$5,('Mass Ion Calculations'!$F$15+'AA Exact Masses'!$Q$3+'AA Exact Masses'!$Q$2-'Mass Ion Calculations'!$E$22-'Mass Ion Calculations'!$E9)/2-'Mass Ion Calculations'!$D$5)))</f>
        <v>#VALUE!</v>
      </c>
      <c r="U8" s="3" t="e">
        <f>IF(OR($B8="",U$3=""),"",IF('Mass Ion Calculations'!$D$6="Yes",IF('Mass Ion Calculations'!$D$7="Yes",('Mass Ion Calculations'!$D$18+'AA Exact Masses'!$Q$3+'AA Exact Masses'!$Q$2-'Mass Ion Calculations'!$C$23-'Mass Ion Calculations'!$C9)/2-'Mass Ion Calculations'!$D$5,('Mass Ion Calculations'!$F$18+'AA Exact Masses'!$Q$3+'AA Exact Masses'!$Q$2-'Mass Ion Calculations'!$E$23-'Mass Ion Calculations'!$E9)/2-'Mass Ion Calculations'!$D$5),IF('Mass Ion Calculations'!$D$7="Yes", ('Mass Ion Calculations'!$D$15+'AA Exact Masses'!$Q$3+'AA Exact Masses'!$Q$2-'Mass Ion Calculations'!$C$23-'Mass Ion Calculations'!$C9)/2-'Mass Ion Calculations'!$D$5,('Mass Ion Calculations'!$F$15+'AA Exact Masses'!$Q$3+'AA Exact Masses'!$Q$2-'Mass Ion Calculations'!$E$23-'Mass Ion Calculations'!$E9)/2-'Mass Ion Calculations'!$D$5)))</f>
        <v>#VALUE!</v>
      </c>
      <c r="V8" s="3" t="str">
        <f>IF(OR($B8="",V$3=""),"",IF('Mass Ion Calculations'!$D$6="Yes",IF('Mass Ion Calculations'!$D$7="Yes",('Mass Ion Calculations'!$D$18+'AA Exact Masses'!$Q$3+'AA Exact Masses'!$Q$2-'Mass Ion Calculations'!$C$24-'Mass Ion Calculations'!$C9)/2-'Mass Ion Calculations'!$D$5,('Mass Ion Calculations'!$F$18+'AA Exact Masses'!$Q$3+'AA Exact Masses'!$Q$2-'Mass Ion Calculations'!$E$24-'Mass Ion Calculations'!$E9)/2-'Mass Ion Calculations'!$D$5),IF('Mass Ion Calculations'!$D$7="Yes", ('Mass Ion Calculations'!$D$15+'AA Exact Masses'!$Q$3+'AA Exact Masses'!$Q$2-'Mass Ion Calculations'!$C$24-'Mass Ion Calculations'!$C9)/2-'Mass Ion Calculations'!$D$5,('Mass Ion Calculations'!$F$15+'AA Exact Masses'!$Q$3+'AA Exact Masses'!$Q$2-'Mass Ion Calculations'!$E$24-'Mass Ion Calculations'!$E9)/2-'Mass Ion Calculations'!$D$5)))</f>
        <v/>
      </c>
      <c r="W8" s="3" t="str">
        <f>IF(OR($B8="",W$3=""),"",IF('Mass Ion Calculations'!$D$6="Yes",IF('Mass Ion Calculations'!$D$7="Yes",('Mass Ion Calculations'!$D$18+'AA Exact Masses'!$Q$3+'AA Exact Masses'!$Q$2-'Mass Ion Calculations'!$C$25-'Mass Ion Calculations'!$C9)/2-'Mass Ion Calculations'!$D$5,('Mass Ion Calculations'!$F$18+'AA Exact Masses'!$Q$3+'AA Exact Masses'!$Q$2-'Mass Ion Calculations'!$E$25-'Mass Ion Calculations'!$E9)/2-'Mass Ion Calculations'!$D$5),IF('Mass Ion Calculations'!$D$7="Yes", ('Mass Ion Calculations'!$D$15+'AA Exact Masses'!$Q$3+'AA Exact Masses'!$Q$2-'Mass Ion Calculations'!$C$25-'Mass Ion Calculations'!$C9)/2-'Mass Ion Calculations'!$D$5,('Mass Ion Calculations'!$F$15+'AA Exact Masses'!$Q$3+'AA Exact Masses'!$Q$2-'Mass Ion Calculations'!$E$25-'Mass Ion Calculations'!$E9)/2-'Mass Ion Calculations'!$D$5)))</f>
        <v/>
      </c>
      <c r="X8" s="3" t="str">
        <f>IF(OR($B8="",X$3=""),"",IF('Mass Ion Calculations'!$D$6="Yes",IF('Mass Ion Calculations'!$D$7="Yes",('Mass Ion Calculations'!$D$18+'AA Exact Masses'!$Q$3+'AA Exact Masses'!$Q$2-'Mass Ion Calculations'!$C$26-'Mass Ion Calculations'!$C9)/2-'Mass Ion Calculations'!$D$5,('Mass Ion Calculations'!$F$18+'AA Exact Masses'!$Q$3+'AA Exact Masses'!$Q$2-'Mass Ion Calculations'!$E$26-'Mass Ion Calculations'!$E9)/2-'Mass Ion Calculations'!$D$5),IF('Mass Ion Calculations'!$D$7="Yes", ('Mass Ion Calculations'!$D$15+'AA Exact Masses'!$Q$3+'AA Exact Masses'!$Q$2-'Mass Ion Calculations'!$C$26-'Mass Ion Calculations'!$C9)/2-'Mass Ion Calculations'!$D$5,('Mass Ion Calculations'!$F$15+'AA Exact Masses'!$Q$3+'AA Exact Masses'!$Q$2-'Mass Ion Calculations'!$E$26-'Mass Ion Calculations'!$E9)/2-'Mass Ion Calculations'!$D$5)))</f>
        <v/>
      </c>
      <c r="Y8" s="3" t="str">
        <f>IF(OR($B8="",Y$3=""),"",IF('Mass Ion Calculations'!$D$6="Yes",IF('Mass Ion Calculations'!$D$7="Yes",('Mass Ion Calculations'!$D$18+'AA Exact Masses'!$Q$3+'AA Exact Masses'!$Q$2-'Mass Ion Calculations'!$C$27-'Mass Ion Calculations'!$C9)/2-'Mass Ion Calculations'!$D$5,('Mass Ion Calculations'!$F$18+'AA Exact Masses'!$Q$3+'AA Exact Masses'!$Q$2-'Mass Ion Calculations'!$E$27-'Mass Ion Calculations'!$E9)/2-'Mass Ion Calculations'!$D$5),IF('Mass Ion Calculations'!$D$7="Yes", ('Mass Ion Calculations'!$D$15+'AA Exact Masses'!$Q$3+'AA Exact Masses'!$Q$2-'Mass Ion Calculations'!$C$27-'Mass Ion Calculations'!$C9)/2-'Mass Ion Calculations'!$D$5,('Mass Ion Calculations'!$F$15+'AA Exact Masses'!$Q$3+'AA Exact Masses'!$Q$2-'Mass Ion Calculations'!$E$27-'Mass Ion Calculations'!$E9)/2-'Mass Ion Calculations'!$D$5)))</f>
        <v/>
      </c>
      <c r="Z8" s="3" t="str">
        <f>IF(OR($B8="",Z$3=""),"",IF('Mass Ion Calculations'!$D$6="Yes",IF('Mass Ion Calculations'!$D$7="Yes",('Mass Ion Calculations'!$D$18+'AA Exact Masses'!$Q$3+'AA Exact Masses'!$Q$2-'Mass Ion Calculations'!$C$28-'Mass Ion Calculations'!$C9)/2-'Mass Ion Calculations'!$D$5,('Mass Ion Calculations'!$F$18+'AA Exact Masses'!$Q$3+'AA Exact Masses'!$Q$2-'Mass Ion Calculations'!$E$28-'Mass Ion Calculations'!$E9)/2-'Mass Ion Calculations'!$D$5),IF('Mass Ion Calculations'!$D$7="Yes", ('Mass Ion Calculations'!$D$15+'AA Exact Masses'!$Q$3+'AA Exact Masses'!$Q$2-'Mass Ion Calculations'!$C$28-'Mass Ion Calculations'!$C9)/2-'Mass Ion Calculations'!$D$5,('Mass Ion Calculations'!$F$15+'AA Exact Masses'!$Q$3+'AA Exact Masses'!$Q$2-'Mass Ion Calculations'!$E$28-'Mass Ion Calculations'!$E9)/2-'Mass Ion Calculations'!$D$5)))</f>
        <v/>
      </c>
    </row>
    <row r="9" spans="2:26" x14ac:dyDescent="0.25">
      <c r="B9" s="4" t="str">
        <f>IF('Mass Ion Calculations'!B10="","", 'Mass Ion Calculations'!B10)</f>
        <v>Leu</v>
      </c>
      <c r="C9" s="3">
        <f>IF(OR($B9="",C$3=""),"",IF('Mass Ion Calculations'!$D$6="Yes",IF('Mass Ion Calculations'!$D$7="Yes",('Mass Ion Calculations'!$D$18+'AA Exact Masses'!$Q$3+'AA Exact Masses'!$Q$2-'Mass Ion Calculations'!$C$5-'Mass Ion Calculations'!$C10)/2-'Mass Ion Calculations'!$D$5,('Mass Ion Calculations'!$F$18+'AA Exact Masses'!$Q$3+'AA Exact Masses'!$Q$2-'Mass Ion Calculations'!$E$5-'Mass Ion Calculations'!$E10)/2-'Mass Ion Calculations'!$D$5),IF('Mass Ion Calculations'!$D$7="Yes", ('Mass Ion Calculations'!$D$15+'AA Exact Masses'!$Q$3+'AA Exact Masses'!$Q$2-'Mass Ion Calculations'!$C$5-'Mass Ion Calculations'!$C10)/2-'Mass Ion Calculations'!$D$5,('Mass Ion Calculations'!$F$15+'AA Exact Masses'!$Q$3+'AA Exact Masses'!$Q$2-'Mass Ion Calculations'!$E$5-'Mass Ion Calculations'!$E10)/2-'Mass Ion Calculations'!$D$5)))</f>
        <v>-413.62020499999994</v>
      </c>
      <c r="D9" s="3">
        <f>IF(OR($B9="",D$3=""),"",IF('Mass Ion Calculations'!$D$6="Yes",IF('Mass Ion Calculations'!$D$7="Yes",('Mass Ion Calculations'!$D$18+'AA Exact Masses'!$Q$3+'AA Exact Masses'!$Q$2-'Mass Ion Calculations'!$C$6-'Mass Ion Calculations'!$C10)/2-'Mass Ion Calculations'!$D$5,('Mass Ion Calculations'!$F$18+'AA Exact Masses'!$Q$3+'AA Exact Masses'!$Q$2-'Mass Ion Calculations'!$E$6-'Mass Ion Calculations'!$E10)/2-'Mass Ion Calculations'!$D$5),IF('Mass Ion Calculations'!$D$7="Yes", ('Mass Ion Calculations'!$D$15+'AA Exact Masses'!$Q$3+'AA Exact Masses'!$Q$2-'Mass Ion Calculations'!$C$6-'Mass Ion Calculations'!$C10)/2-'Mass Ion Calculations'!$D$5,('Mass Ion Calculations'!$F$15+'AA Exact Masses'!$Q$3+'AA Exact Masses'!$Q$2-'Mass Ion Calculations'!$E$6-'Mass Ion Calculations'!$E10)/2-'Mass Ion Calculations'!$D$5)))</f>
        <v>-392.09909999999991</v>
      </c>
      <c r="E9" s="3">
        <f>IF(OR($B9="",E$3=""),"",IF('Mass Ion Calculations'!$D$6="Yes",IF('Mass Ion Calculations'!$D$7="Yes",('Mass Ion Calculations'!$D$18+'AA Exact Masses'!$Q$3+'AA Exact Masses'!$Q$2-'Mass Ion Calculations'!$C$7-'Mass Ion Calculations'!$C10)/2-'Mass Ion Calculations'!$D$5,('Mass Ion Calculations'!$F$18+'AA Exact Masses'!$Q$3+'AA Exact Masses'!$Q$2-'Mass Ion Calculations'!$E$7-'Mass Ion Calculations'!$E10)/2-'Mass Ion Calculations'!$D$5),IF('Mass Ion Calculations'!$D$7="Yes", ('Mass Ion Calculations'!$D$15+'AA Exact Masses'!$Q$3+'AA Exact Masses'!$Q$2-'Mass Ion Calculations'!$C$7-'Mass Ion Calculations'!$C10)/2-'Mass Ion Calculations'!$D$5,('Mass Ion Calculations'!$F$15+'AA Exact Masses'!$Q$3+'AA Exact Masses'!$Q$2-'Mass Ion Calculations'!$E$7-'Mass Ion Calculations'!$E10)/2-'Mass Ion Calculations'!$D$5)))</f>
        <v>-413.12257499999987</v>
      </c>
      <c r="F9" s="3">
        <f>IF(OR($B9="",F$3=""),"",IF('Mass Ion Calculations'!$D$6="Yes",IF('Mass Ion Calculations'!$D$7="Yes",('Mass Ion Calculations'!$D$18+'AA Exact Masses'!$Q$3+'AA Exact Masses'!$Q$2-'Mass Ion Calculations'!$C$8-'Mass Ion Calculations'!$C10)/2-'Mass Ion Calculations'!$D$5,('Mass Ion Calculations'!$F$18+'AA Exact Masses'!$Q$3+'AA Exact Masses'!$Q$2-'Mass Ion Calculations'!$E$8-'Mass Ion Calculations'!$E10)/2-'Mass Ion Calculations'!$D$5),IF('Mass Ion Calculations'!$D$7="Yes", ('Mass Ion Calculations'!$D$15+'AA Exact Masses'!$Q$3+'AA Exact Masses'!$Q$2-'Mass Ion Calculations'!$C$8-'Mass Ion Calculations'!$C10)/2-'Mass Ion Calculations'!$D$5,('Mass Ion Calculations'!$F$15+'AA Exact Masses'!$Q$3+'AA Exact Masses'!$Q$2-'Mass Ion Calculations'!$E$8-'Mass Ion Calculations'!$E10)/2-'Mass Ion Calculations'!$D$5)))</f>
        <v>-413.12257499999987</v>
      </c>
      <c r="G9" s="3">
        <f>IF(OR($B9="",G$3=""),"",IF('Mass Ion Calculations'!$D$6="Yes",IF('Mass Ion Calculations'!$D$7="Yes",('Mass Ion Calculations'!$D$18+'AA Exact Masses'!$Q$3+'AA Exact Masses'!$Q$2-'Mass Ion Calculations'!$C$9-'Mass Ion Calculations'!$C10)/2-'Mass Ion Calculations'!$D$5,('Mass Ion Calculations'!$F$18+'AA Exact Masses'!$Q$3+'AA Exact Masses'!$Q$2-'Mass Ion Calculations'!$E$9-'Mass Ion Calculations'!$E10)/2-'Mass Ion Calculations'!$D$5),IF('Mass Ion Calculations'!$D$7="Yes", ('Mass Ion Calculations'!$D$15+'AA Exact Masses'!$Q$3+'AA Exact Masses'!$Q$2-'Mass Ion Calculations'!$C$9-'Mass Ion Calculations'!$C10)/2-'Mass Ion Calculations'!$D$5,('Mass Ion Calculations'!$F$15+'AA Exact Masses'!$Q$3+'AA Exact Masses'!$Q$2-'Mass Ion Calculations'!$E$9-'Mass Ion Calculations'!$E10)/2-'Mass Ion Calculations'!$D$5)))</f>
        <v>-392.09909999999991</v>
      </c>
      <c r="H9" s="3">
        <f>IF(OR($B9="",H$3=""),"",IF('Mass Ion Calculations'!$D$6="Yes",IF('Mass Ion Calculations'!$D$7="Yes",('Mass Ion Calculations'!$D$18+'AA Exact Masses'!$Q$3+'AA Exact Masses'!$Q$2-'Mass Ion Calculations'!$C$10-'Mass Ion Calculations'!$C10)/2-'Mass Ion Calculations'!$D$5,('Mass Ion Calculations'!$F$18+'AA Exact Masses'!$Q$3+'AA Exact Masses'!$Q$2-'Mass Ion Calculations'!$E$10-'Mass Ion Calculations'!$E10)/2-'Mass Ion Calculations'!$D$5),IF('Mass Ion Calculations'!$D$7="Yes", ('Mass Ion Calculations'!$D$15+'AA Exact Masses'!$Q$3+'AA Exact Masses'!$Q$2-'Mass Ion Calculations'!$C$10-'Mass Ion Calculations'!$C10)/2-'Mass Ion Calculations'!$D$5,('Mass Ion Calculations'!$F$15+'AA Exact Masses'!$Q$3+'AA Exact Masses'!$Q$2-'Mass Ion Calculations'!$E$10-'Mass Ion Calculations'!$E10)/2-'Mass Ion Calculations'!$D$5)))</f>
        <v>-413.12257499999987</v>
      </c>
      <c r="I9" s="3">
        <f>IF(OR($B9="",I$3=""),"",IF('Mass Ion Calculations'!$D$6="Yes",IF('Mass Ion Calculations'!$D$7="Yes",('Mass Ion Calculations'!$D$18+'AA Exact Masses'!$Q$3+'AA Exact Masses'!$Q$2-'Mass Ion Calculations'!$C$11-'Mass Ion Calculations'!$C10)/2-'Mass Ion Calculations'!$D$5,('Mass Ion Calculations'!$F$18+'AA Exact Masses'!$Q$3+'AA Exact Masses'!$Q$2-'Mass Ion Calculations'!$E$11-'Mass Ion Calculations'!$E10)/2-'Mass Ion Calculations'!$D$5),IF('Mass Ion Calculations'!$D$7="Yes", ('Mass Ion Calculations'!$D$15+'AA Exact Masses'!$Q$3+'AA Exact Masses'!$Q$2-'Mass Ion Calculations'!$C$11-'Mass Ion Calculations'!$C10)/2-'Mass Ion Calculations'!$D$5,('Mass Ion Calculations'!$F$15+'AA Exact Masses'!$Q$3+'AA Exact Masses'!$Q$2-'Mass Ion Calculations'!$E$11-'Mass Ion Calculations'!$E10)/2-'Mass Ion Calculations'!$D$5)))</f>
        <v>-413.62020499999994</v>
      </c>
      <c r="J9" s="3">
        <f>IF(OR($B9="",J$3=""),"",IF('Mass Ion Calculations'!$D$6="Yes",IF('Mass Ion Calculations'!$D$7="Yes",('Mass Ion Calculations'!$D$18+'AA Exact Masses'!$Q$3+'AA Exact Masses'!$Q$2-'Mass Ion Calculations'!$C$12-'Mass Ion Calculations'!$C10)/2-'Mass Ion Calculations'!$D$5,('Mass Ion Calculations'!$F$18+'AA Exact Masses'!$Q$3+'AA Exact Masses'!$Q$2-'Mass Ion Calculations'!$E$12-'Mass Ion Calculations'!$E10)/2-'Mass Ion Calculations'!$D$5),IF('Mass Ion Calculations'!$D$7="Yes", ('Mass Ion Calculations'!$D$15+'AA Exact Masses'!$Q$3+'AA Exact Masses'!$Q$2-'Mass Ion Calculations'!$C$12-'Mass Ion Calculations'!$C10)/2-'Mass Ion Calculations'!$D$5,('Mass Ion Calculations'!$F$15+'AA Exact Masses'!$Q$3+'AA Exact Masses'!$Q$2-'Mass Ion Calculations'!$E$12-'Mass Ion Calculations'!$E10)/2-'Mass Ion Calculations'!$D$5)))</f>
        <v>-406.11474999999996</v>
      </c>
      <c r="K9" s="3">
        <f>IF(OR($B9="",K$3=""),"",IF('Mass Ion Calculations'!$D$6="Yes",IF('Mass Ion Calculations'!$D$7="Yes",('Mass Ion Calculations'!$D$18+'AA Exact Masses'!$Q$3+'AA Exact Masses'!$Q$2-'Mass Ion Calculations'!$C$13-'Mass Ion Calculations'!$C10)/2-'Mass Ion Calculations'!$D$5,('Mass Ion Calculations'!$F$18+'AA Exact Masses'!$Q$3+'AA Exact Masses'!$Q$2-'Mass Ion Calculations'!$E$14-'Mass Ion Calculations'!$E10)/2-'Mass Ion Calculations'!$D$5),IF('Mass Ion Calculations'!$D$7="Yes", ('Mass Ion Calculations'!$D$15+'AA Exact Masses'!$Q$3+'AA Exact Masses'!$Q$2-'Mass Ion Calculations'!$C$13-'Mass Ion Calculations'!$C10)/2-'Mass Ion Calculations'!$D$5,('Mass Ion Calculations'!$F$15+'AA Exact Masses'!$Q$3+'AA Exact Masses'!$Q$2-'Mass Ion Calculations'!$E$14-'Mass Ion Calculations'!$E10)/2-'Mass Ion Calculations'!$D$5)))</f>
        <v>-421.10183999999992</v>
      </c>
      <c r="L9" s="3">
        <f>IF(OR($B9="",L$3=""),"",IF('Mass Ion Calculations'!$D$6="Yes",IF('Mass Ion Calculations'!$D$7="Yes",('Mass Ion Calculations'!$D$18+'AA Exact Masses'!$Q$3+'AA Exact Masses'!$Q$2-'Mass Ion Calculations'!$C$14-'Mass Ion Calculations'!$C10)/2-'Mass Ion Calculations'!$D$5,('Mass Ion Calculations'!$F$18+'AA Exact Masses'!$Q$3+'AA Exact Masses'!$Q$2-'Mass Ion Calculations'!$E$15-'Mass Ion Calculations'!$E10)/2-'Mass Ion Calculations'!$D$5),IF('Mass Ion Calculations'!$D$7="Yes", ('Mass Ion Calculations'!$D$15+'AA Exact Masses'!$Q$3+'AA Exact Masses'!$Q$2-'Mass Ion Calculations'!$C$14-'Mass Ion Calculations'!$C10)/2-'Mass Ion Calculations'!$D$5,('Mass Ion Calculations'!$F$15+'AA Exact Masses'!$Q$3+'AA Exact Masses'!$Q$2-'Mass Ion Calculations'!$E$15-'Mass Ion Calculations'!$E10)/2-'Mass Ion Calculations'!$D$5)))</f>
        <v>-414.0940149999999</v>
      </c>
      <c r="M9" s="3">
        <f>IF(OR($B9="",M$3=""),"",IF('Mass Ion Calculations'!$D$6="Yes",IF('Mass Ion Calculations'!$D$7="Yes",('Mass Ion Calculations'!$D$18+'AA Exact Masses'!$Q$3+'AA Exact Masses'!$Q$2-'Mass Ion Calculations'!$C$15-'Mass Ion Calculations'!$C10)/2-'Mass Ion Calculations'!$D$5,('Mass Ion Calculations'!$F$18+'AA Exact Masses'!$Q$3+'AA Exact Masses'!$Q$2-'Mass Ion Calculations'!$E$16-'Mass Ion Calculations'!$E10)/2-'Mass Ion Calculations'!$D$5),IF('Mass Ion Calculations'!$D$7="Yes", ('Mass Ion Calculations'!$D$15+'AA Exact Masses'!$Q$3+'AA Exact Masses'!$Q$2-'Mass Ion Calculations'!$C$15-'Mass Ion Calculations'!$C10)/2-'Mass Ion Calculations'!$D$5,('Mass Ion Calculations'!$F$15+'AA Exact Masses'!$Q$3+'AA Exact Masses'!$Q$2-'Mass Ion Calculations'!$E$16-'Mass Ion Calculations'!$E10)/2-'Mass Ion Calculations'!$D$5)))</f>
        <v>-392.09909999999991</v>
      </c>
      <c r="N9" s="3">
        <f>IF(OR($B9="",N$3=""),"",IF('Mass Ion Calculations'!$D$6="Yes",IF('Mass Ion Calculations'!$D$7="Yes",('Mass Ion Calculations'!$D$18+'AA Exact Masses'!$Q$3+'AA Exact Masses'!$Q$2-'Mass Ion Calculations'!$C$16-'Mass Ion Calculations'!$C10)/2-'Mass Ion Calculations'!$D$5,('Mass Ion Calculations'!$F$18+'AA Exact Masses'!$Q$3+'AA Exact Masses'!$Q$2-'Mass Ion Calculations'!$E$17-'Mass Ion Calculations'!$E10)/2-'Mass Ion Calculations'!$D$5),IF('Mass Ion Calculations'!$D$7="Yes", ('Mass Ion Calculations'!$D$15+'AA Exact Masses'!$Q$3+'AA Exact Masses'!$Q$2-'Mass Ion Calculations'!$C$16-'Mass Ion Calculations'!$C10)/2-'Mass Ion Calculations'!$D$5,('Mass Ion Calculations'!$F$15+'AA Exact Masses'!$Q$3+'AA Exact Masses'!$Q$2-'Mass Ion Calculations'!$E$17-'Mass Ion Calculations'!$E10)/2-'Mass Ion Calculations'!$D$5)))</f>
        <v>-430.11474999999996</v>
      </c>
      <c r="O9" s="3">
        <f>IF(OR($B9="",O$3=""),"",IF('Mass Ion Calculations'!$D$6="Yes",IF('Mass Ion Calculations'!$D$7="Yes",('Mass Ion Calculations'!$D$18+'AA Exact Masses'!$Q$3+'AA Exact Masses'!$Q$2-'Mass Ion Calculations'!$C$17-'Mass Ion Calculations'!$C10)/2-'Mass Ion Calculations'!$D$5,('Mass Ion Calculations'!$F$18+'AA Exact Masses'!$Q$3+'AA Exact Masses'!$Q$2-'Mass Ion Calculations'!$E$18-'Mass Ion Calculations'!$E10)/2-'Mass Ion Calculations'!$D$5),IF('Mass Ion Calculations'!$D$7="Yes", ('Mass Ion Calculations'!$D$15+'AA Exact Masses'!$Q$3+'AA Exact Masses'!$Q$2-'Mass Ion Calculations'!$C$17-'Mass Ion Calculations'!$C10)/2-'Mass Ion Calculations'!$D$5,('Mass Ion Calculations'!$F$15+'AA Exact Masses'!$Q$3+'AA Exact Masses'!$Q$2-'Mass Ion Calculations'!$E$18-'Mass Ion Calculations'!$E10)/2-'Mass Ion Calculations'!$D$5)))</f>
        <v>-493.06307499999991</v>
      </c>
      <c r="P9" s="3">
        <f>IF(OR($B9="",P$3=""),"",IF('Mass Ion Calculations'!$D$6="Yes",IF('Mass Ion Calculations'!$D$7="Yes",('Mass Ion Calculations'!$D$18+'AA Exact Masses'!$Q$3+'AA Exact Masses'!$Q$2-'Mass Ion Calculations'!$C$19-'Mass Ion Calculations'!$C10)/2-'Mass Ion Calculations'!$D$5,('Mass Ion Calculations'!$F$18+'AA Exact Masses'!$Q$3+'AA Exact Masses'!$Q$2-'Mass Ion Calculations'!$E$19-'Mass Ion Calculations'!$E10)/2-'Mass Ion Calculations'!$D$5),IF('Mass Ion Calculations'!$D$7="Yes", ('Mass Ion Calculations'!$D$15+'AA Exact Masses'!$Q$3+'AA Exact Masses'!$Q$2-'Mass Ion Calculations'!$C$19-'Mass Ion Calculations'!$C10)/2-'Mass Ion Calculations'!$D$5,('Mass Ion Calculations'!$F$15+'AA Exact Masses'!$Q$3+'AA Exact Masses'!$Q$2-'Mass Ion Calculations'!$E$19-'Mass Ion Calculations'!$E10)/2-'Mass Ion Calculations'!$D$5)))</f>
        <v>-406.11474999999996</v>
      </c>
      <c r="Q9" s="3">
        <f>IF(OR($B9="",Q$3=""),"",IF('Mass Ion Calculations'!$D$6="Yes",IF('Mass Ion Calculations'!$D$7="Yes",('Mass Ion Calculations'!$D$18+'AA Exact Masses'!$Q$3+'AA Exact Masses'!$Q$2-'Mass Ion Calculations'!$C$20-'Mass Ion Calculations'!$C10)/2-'Mass Ion Calculations'!$D$5,('Mass Ion Calculations'!$F$18+'AA Exact Masses'!$Q$3+'AA Exact Masses'!$Q$2-'Mass Ion Calculations'!$E$20-'Mass Ion Calculations'!$E10)/2-'Mass Ion Calculations'!$D$5),IF('Mass Ion Calculations'!$D$7="Yes", ('Mass Ion Calculations'!$D$15+'AA Exact Masses'!$Q$3+'AA Exact Masses'!$Q$2-'Mass Ion Calculations'!$C$20-'Mass Ion Calculations'!$C10)/2-'Mass Ion Calculations'!$D$5,('Mass Ion Calculations'!$F$15+'AA Exact Masses'!$Q$3+'AA Exact Masses'!$Q$2-'Mass Ion Calculations'!$E$20-'Mass Ion Calculations'!$E10)/2-'Mass Ion Calculations'!$D$5)))</f>
        <v>-413.12257499999987</v>
      </c>
      <c r="R9" s="3" t="e">
        <f>IF(OR($B9="",R$3=""),"",IF('Mass Ion Calculations'!$D$6="Yes",IF('Mass Ion Calculations'!$D$7="Yes",('Mass Ion Calculations'!$D$18+'AA Exact Masses'!$Q$3+'AA Exact Masses'!$Q$2-'Mass Ion Calculations'!$C$21-'Mass Ion Calculations'!$C10)/2-'Mass Ion Calculations'!$D$5,('Mass Ion Calculations'!$F$18+'AA Exact Masses'!$Q$3+'AA Exact Masses'!$Q$2-'Mass Ion Calculations'!$E$21-'Mass Ion Calculations'!$E10)/2-'Mass Ion Calculations'!$D$5),IF('Mass Ion Calculations'!$D$7="Yes", ('Mass Ion Calculations'!$D$15+'AA Exact Masses'!$Q$3+'AA Exact Masses'!$Q$2-'Mass Ion Calculations'!$C$21-'Mass Ion Calculations'!$C10)/2-'Mass Ion Calculations'!$D$5,('Mass Ion Calculations'!$F$15+'AA Exact Masses'!$Q$3+'AA Exact Masses'!$Q$2-'Mass Ion Calculations'!$E$21-'Mass Ion Calculations'!$E10)/2-'Mass Ion Calculations'!$D$5)))</f>
        <v>#VALUE!</v>
      </c>
      <c r="S9" s="3" t="str">
        <f>IF(OR($B9="",S$3=""),"",IF('Mass Ion Calculations'!$D$6="Yes",IF('Mass Ion Calculations'!$D$7="Yes",('Mass Ion Calculations'!$D$18+'AA Exact Masses'!$Q$3+'AA Exact Masses'!$Q$2-'Mass Ion Calculations'!$C$22-'Mass Ion Calculations'!$C10)/2-'Mass Ion Calculations'!$D$5,('Mass Ion Calculations'!$F$18+'AA Exact Masses'!$Q$3+'AA Exact Masses'!$Q$2-'Mass Ion Calculations'!$E$22-'Mass Ion Calculations'!$E10)/2-'Mass Ion Calculations'!$D$5),IF('Mass Ion Calculations'!$D$7="Yes", ('Mass Ion Calculations'!$D$15+'AA Exact Masses'!$Q$3+'AA Exact Masses'!$Q$2-'Mass Ion Calculations'!$C$22-'Mass Ion Calculations'!$C10)/2-'Mass Ion Calculations'!$D$5,('Mass Ion Calculations'!$F$15+'AA Exact Masses'!$Q$3+'AA Exact Masses'!$Q$2-'Mass Ion Calculations'!$E$22-'Mass Ion Calculations'!$E10)/2-'Mass Ion Calculations'!$D$5)))</f>
        <v/>
      </c>
      <c r="T9" s="3" t="e">
        <f>IF(OR($B9="",T$3=""),"",IF('Mass Ion Calculations'!$D$6="Yes",IF('Mass Ion Calculations'!$D$7="Yes",('Mass Ion Calculations'!$D$18+'AA Exact Masses'!$Q$3+'AA Exact Masses'!$Q$2-'Mass Ion Calculations'!$C$22-'Mass Ion Calculations'!$C10)/2-'Mass Ion Calculations'!$D$5,('Mass Ion Calculations'!$F$18+'AA Exact Masses'!$Q$3+'AA Exact Masses'!$Q$2-'Mass Ion Calculations'!$E$22-'Mass Ion Calculations'!$E10)/2-'Mass Ion Calculations'!$D$5),IF('Mass Ion Calculations'!$D$7="Yes", ('Mass Ion Calculations'!$D$15+'AA Exact Masses'!$Q$3+'AA Exact Masses'!$Q$2-'Mass Ion Calculations'!$C$22-'Mass Ion Calculations'!$C10)/2-'Mass Ion Calculations'!$D$5,('Mass Ion Calculations'!$F$15+'AA Exact Masses'!$Q$3+'AA Exact Masses'!$Q$2-'Mass Ion Calculations'!$E$22-'Mass Ion Calculations'!$E10)/2-'Mass Ion Calculations'!$D$5)))</f>
        <v>#VALUE!</v>
      </c>
      <c r="U9" s="3" t="e">
        <f>IF(OR($B9="",U$3=""),"",IF('Mass Ion Calculations'!$D$6="Yes",IF('Mass Ion Calculations'!$D$7="Yes",('Mass Ion Calculations'!$D$18+'AA Exact Masses'!$Q$3+'AA Exact Masses'!$Q$2-'Mass Ion Calculations'!$C$23-'Mass Ion Calculations'!$C10)/2-'Mass Ion Calculations'!$D$5,('Mass Ion Calculations'!$F$18+'AA Exact Masses'!$Q$3+'AA Exact Masses'!$Q$2-'Mass Ion Calculations'!$E$23-'Mass Ion Calculations'!$E10)/2-'Mass Ion Calculations'!$D$5),IF('Mass Ion Calculations'!$D$7="Yes", ('Mass Ion Calculations'!$D$15+'AA Exact Masses'!$Q$3+'AA Exact Masses'!$Q$2-'Mass Ion Calculations'!$C$23-'Mass Ion Calculations'!$C10)/2-'Mass Ion Calculations'!$D$5,('Mass Ion Calculations'!$F$15+'AA Exact Masses'!$Q$3+'AA Exact Masses'!$Q$2-'Mass Ion Calculations'!$E$23-'Mass Ion Calculations'!$E10)/2-'Mass Ion Calculations'!$D$5)))</f>
        <v>#VALUE!</v>
      </c>
      <c r="V9" s="3" t="str">
        <f>IF(OR($B9="",V$3=""),"",IF('Mass Ion Calculations'!$D$6="Yes",IF('Mass Ion Calculations'!$D$7="Yes",('Mass Ion Calculations'!$D$18+'AA Exact Masses'!$Q$3+'AA Exact Masses'!$Q$2-'Mass Ion Calculations'!$C$24-'Mass Ion Calculations'!$C10)/2-'Mass Ion Calculations'!$D$5,('Mass Ion Calculations'!$F$18+'AA Exact Masses'!$Q$3+'AA Exact Masses'!$Q$2-'Mass Ion Calculations'!$E$24-'Mass Ion Calculations'!$E10)/2-'Mass Ion Calculations'!$D$5),IF('Mass Ion Calculations'!$D$7="Yes", ('Mass Ion Calculations'!$D$15+'AA Exact Masses'!$Q$3+'AA Exact Masses'!$Q$2-'Mass Ion Calculations'!$C$24-'Mass Ion Calculations'!$C10)/2-'Mass Ion Calculations'!$D$5,('Mass Ion Calculations'!$F$15+'AA Exact Masses'!$Q$3+'AA Exact Masses'!$Q$2-'Mass Ion Calculations'!$E$24-'Mass Ion Calculations'!$E10)/2-'Mass Ion Calculations'!$D$5)))</f>
        <v/>
      </c>
      <c r="W9" s="3" t="str">
        <f>IF(OR($B9="",W$3=""),"",IF('Mass Ion Calculations'!$D$6="Yes",IF('Mass Ion Calculations'!$D$7="Yes",('Mass Ion Calculations'!$D$18+'AA Exact Masses'!$Q$3+'AA Exact Masses'!$Q$2-'Mass Ion Calculations'!$C$25-'Mass Ion Calculations'!$C10)/2-'Mass Ion Calculations'!$D$5,('Mass Ion Calculations'!$F$18+'AA Exact Masses'!$Q$3+'AA Exact Masses'!$Q$2-'Mass Ion Calculations'!$E$25-'Mass Ion Calculations'!$E10)/2-'Mass Ion Calculations'!$D$5),IF('Mass Ion Calculations'!$D$7="Yes", ('Mass Ion Calculations'!$D$15+'AA Exact Masses'!$Q$3+'AA Exact Masses'!$Q$2-'Mass Ion Calculations'!$C$25-'Mass Ion Calculations'!$C10)/2-'Mass Ion Calculations'!$D$5,('Mass Ion Calculations'!$F$15+'AA Exact Masses'!$Q$3+'AA Exact Masses'!$Q$2-'Mass Ion Calculations'!$E$25-'Mass Ion Calculations'!$E10)/2-'Mass Ion Calculations'!$D$5)))</f>
        <v/>
      </c>
      <c r="X9" s="3" t="str">
        <f>IF(OR($B9="",X$3=""),"",IF('Mass Ion Calculations'!$D$6="Yes",IF('Mass Ion Calculations'!$D$7="Yes",('Mass Ion Calculations'!$D$18+'AA Exact Masses'!$Q$3+'AA Exact Masses'!$Q$2-'Mass Ion Calculations'!$C$26-'Mass Ion Calculations'!$C10)/2-'Mass Ion Calculations'!$D$5,('Mass Ion Calculations'!$F$18+'AA Exact Masses'!$Q$3+'AA Exact Masses'!$Q$2-'Mass Ion Calculations'!$E$26-'Mass Ion Calculations'!$E10)/2-'Mass Ion Calculations'!$D$5),IF('Mass Ion Calculations'!$D$7="Yes", ('Mass Ion Calculations'!$D$15+'AA Exact Masses'!$Q$3+'AA Exact Masses'!$Q$2-'Mass Ion Calculations'!$C$26-'Mass Ion Calculations'!$C10)/2-'Mass Ion Calculations'!$D$5,('Mass Ion Calculations'!$F$15+'AA Exact Masses'!$Q$3+'AA Exact Masses'!$Q$2-'Mass Ion Calculations'!$E$26-'Mass Ion Calculations'!$E10)/2-'Mass Ion Calculations'!$D$5)))</f>
        <v/>
      </c>
      <c r="Y9" s="3" t="str">
        <f>IF(OR($B9="",Y$3=""),"",IF('Mass Ion Calculations'!$D$6="Yes",IF('Mass Ion Calculations'!$D$7="Yes",('Mass Ion Calculations'!$D$18+'AA Exact Masses'!$Q$3+'AA Exact Masses'!$Q$2-'Mass Ion Calculations'!$C$27-'Mass Ion Calculations'!$C10)/2-'Mass Ion Calculations'!$D$5,('Mass Ion Calculations'!$F$18+'AA Exact Masses'!$Q$3+'AA Exact Masses'!$Q$2-'Mass Ion Calculations'!$E$27-'Mass Ion Calculations'!$E10)/2-'Mass Ion Calculations'!$D$5),IF('Mass Ion Calculations'!$D$7="Yes", ('Mass Ion Calculations'!$D$15+'AA Exact Masses'!$Q$3+'AA Exact Masses'!$Q$2-'Mass Ion Calculations'!$C$27-'Mass Ion Calculations'!$C10)/2-'Mass Ion Calculations'!$D$5,('Mass Ion Calculations'!$F$15+'AA Exact Masses'!$Q$3+'AA Exact Masses'!$Q$2-'Mass Ion Calculations'!$E$27-'Mass Ion Calculations'!$E10)/2-'Mass Ion Calculations'!$D$5)))</f>
        <v/>
      </c>
      <c r="Z9" s="3" t="str">
        <f>IF(OR($B9="",Z$3=""),"",IF('Mass Ion Calculations'!$D$6="Yes",IF('Mass Ion Calculations'!$D$7="Yes",('Mass Ion Calculations'!$D$18+'AA Exact Masses'!$Q$3+'AA Exact Masses'!$Q$2-'Mass Ion Calculations'!$C$28-'Mass Ion Calculations'!$C10)/2-'Mass Ion Calculations'!$D$5,('Mass Ion Calculations'!$F$18+'AA Exact Masses'!$Q$3+'AA Exact Masses'!$Q$2-'Mass Ion Calculations'!$E$28-'Mass Ion Calculations'!$E10)/2-'Mass Ion Calculations'!$D$5),IF('Mass Ion Calculations'!$D$7="Yes", ('Mass Ion Calculations'!$D$15+'AA Exact Masses'!$Q$3+'AA Exact Masses'!$Q$2-'Mass Ion Calculations'!$C$28-'Mass Ion Calculations'!$C10)/2-'Mass Ion Calculations'!$D$5,('Mass Ion Calculations'!$F$15+'AA Exact Masses'!$Q$3+'AA Exact Masses'!$Q$2-'Mass Ion Calculations'!$E$28-'Mass Ion Calculations'!$E10)/2-'Mass Ion Calculations'!$D$5)))</f>
        <v/>
      </c>
    </row>
    <row r="10" spans="2:26" x14ac:dyDescent="0.25">
      <c r="B10" s="4" t="str">
        <f>IF('Mass Ion Calculations'!B11="","", 'Mass Ion Calculations'!B11)</f>
        <v>Orn(Boc)</v>
      </c>
      <c r="C10" s="3">
        <f>IF(OR($B10="",C$3=""),"",IF('Mass Ion Calculations'!$D$6="Yes",IF('Mass Ion Calculations'!$D$7="Yes",('Mass Ion Calculations'!$D$18+'AA Exact Masses'!$Q$3+'AA Exact Masses'!$Q$2-'Mass Ion Calculations'!$C$5-'Mass Ion Calculations'!$C11)/2-'Mass Ion Calculations'!$D$5,('Mass Ion Calculations'!$F$18+'AA Exact Masses'!$Q$3+'AA Exact Masses'!$Q$2-'Mass Ion Calculations'!$E$5-'Mass Ion Calculations'!$E11)/2-'Mass Ion Calculations'!$D$5),IF('Mass Ion Calculations'!$D$7="Yes", ('Mass Ion Calculations'!$D$15+'AA Exact Masses'!$Q$3+'AA Exact Masses'!$Q$2-'Mass Ion Calculations'!$C$5-'Mass Ion Calculations'!$C11)/2-'Mass Ion Calculations'!$D$5,('Mass Ion Calculations'!$F$15+'AA Exact Masses'!$Q$3+'AA Exact Masses'!$Q$2-'Mass Ion Calculations'!$E$5-'Mass Ion Calculations'!$E11)/2-'Mass Ion Calculations'!$D$5)))</f>
        <v>-414.11783500000001</v>
      </c>
      <c r="D10" s="3">
        <f>IF(OR($B10="",D$3=""),"",IF('Mass Ion Calculations'!$D$6="Yes",IF('Mass Ion Calculations'!$D$7="Yes",('Mass Ion Calculations'!$D$18+'AA Exact Masses'!$Q$3+'AA Exact Masses'!$Q$2-'Mass Ion Calculations'!$C$6-'Mass Ion Calculations'!$C11)/2-'Mass Ion Calculations'!$D$5,('Mass Ion Calculations'!$F$18+'AA Exact Masses'!$Q$3+'AA Exact Masses'!$Q$2-'Mass Ion Calculations'!$E$6-'Mass Ion Calculations'!$E11)/2-'Mass Ion Calculations'!$D$5),IF('Mass Ion Calculations'!$D$7="Yes", ('Mass Ion Calculations'!$D$15+'AA Exact Masses'!$Q$3+'AA Exact Masses'!$Q$2-'Mass Ion Calculations'!$C$6-'Mass Ion Calculations'!$C11)/2-'Mass Ion Calculations'!$D$5,('Mass Ion Calculations'!$F$15+'AA Exact Masses'!$Q$3+'AA Exact Masses'!$Q$2-'Mass Ion Calculations'!$E$6-'Mass Ion Calculations'!$E11)/2-'Mass Ion Calculations'!$D$5)))</f>
        <v>-392.59672999999998</v>
      </c>
      <c r="E10" s="3">
        <f>IF(OR($B10="",E$3=""),"",IF('Mass Ion Calculations'!$D$6="Yes",IF('Mass Ion Calculations'!$D$7="Yes",('Mass Ion Calculations'!$D$18+'AA Exact Masses'!$Q$3+'AA Exact Masses'!$Q$2-'Mass Ion Calculations'!$C$7-'Mass Ion Calculations'!$C11)/2-'Mass Ion Calculations'!$D$5,('Mass Ion Calculations'!$F$18+'AA Exact Masses'!$Q$3+'AA Exact Masses'!$Q$2-'Mass Ion Calculations'!$E$7-'Mass Ion Calculations'!$E11)/2-'Mass Ion Calculations'!$D$5),IF('Mass Ion Calculations'!$D$7="Yes", ('Mass Ion Calculations'!$D$15+'AA Exact Masses'!$Q$3+'AA Exact Masses'!$Q$2-'Mass Ion Calculations'!$C$7-'Mass Ion Calculations'!$C11)/2-'Mass Ion Calculations'!$D$5,('Mass Ion Calculations'!$F$15+'AA Exact Masses'!$Q$3+'AA Exact Masses'!$Q$2-'Mass Ion Calculations'!$E$7-'Mass Ion Calculations'!$E11)/2-'Mass Ion Calculations'!$D$5)))</f>
        <v>-413.62020499999994</v>
      </c>
      <c r="F10" s="3">
        <f>IF(OR($B10="",F$3=""),"",IF('Mass Ion Calculations'!$D$6="Yes",IF('Mass Ion Calculations'!$D$7="Yes",('Mass Ion Calculations'!$D$18+'AA Exact Masses'!$Q$3+'AA Exact Masses'!$Q$2-'Mass Ion Calculations'!$C$8-'Mass Ion Calculations'!$C11)/2-'Mass Ion Calculations'!$D$5,('Mass Ion Calculations'!$F$18+'AA Exact Masses'!$Q$3+'AA Exact Masses'!$Q$2-'Mass Ion Calculations'!$E$8-'Mass Ion Calculations'!$E11)/2-'Mass Ion Calculations'!$D$5),IF('Mass Ion Calculations'!$D$7="Yes", ('Mass Ion Calculations'!$D$15+'AA Exact Masses'!$Q$3+'AA Exact Masses'!$Q$2-'Mass Ion Calculations'!$C$8-'Mass Ion Calculations'!$C11)/2-'Mass Ion Calculations'!$D$5,('Mass Ion Calculations'!$F$15+'AA Exact Masses'!$Q$3+'AA Exact Masses'!$Q$2-'Mass Ion Calculations'!$E$8-'Mass Ion Calculations'!$E11)/2-'Mass Ion Calculations'!$D$5)))</f>
        <v>-413.62020499999994</v>
      </c>
      <c r="G10" s="3">
        <f>IF(OR($B10="",G$3=""),"",IF('Mass Ion Calculations'!$D$6="Yes",IF('Mass Ion Calculations'!$D$7="Yes",('Mass Ion Calculations'!$D$18+'AA Exact Masses'!$Q$3+'AA Exact Masses'!$Q$2-'Mass Ion Calculations'!$C$9-'Mass Ion Calculations'!$C11)/2-'Mass Ion Calculations'!$D$5,('Mass Ion Calculations'!$F$18+'AA Exact Masses'!$Q$3+'AA Exact Masses'!$Q$2-'Mass Ion Calculations'!$E$9-'Mass Ion Calculations'!$E11)/2-'Mass Ion Calculations'!$D$5),IF('Mass Ion Calculations'!$D$7="Yes", ('Mass Ion Calculations'!$D$15+'AA Exact Masses'!$Q$3+'AA Exact Masses'!$Q$2-'Mass Ion Calculations'!$C$9-'Mass Ion Calculations'!$C11)/2-'Mass Ion Calculations'!$D$5,('Mass Ion Calculations'!$F$15+'AA Exact Masses'!$Q$3+'AA Exact Masses'!$Q$2-'Mass Ion Calculations'!$E$9-'Mass Ion Calculations'!$E11)/2-'Mass Ion Calculations'!$D$5)))</f>
        <v>-392.59672999999998</v>
      </c>
      <c r="H10" s="3">
        <f>IF(OR($B10="",H$3=""),"",IF('Mass Ion Calculations'!$D$6="Yes",IF('Mass Ion Calculations'!$D$7="Yes",('Mass Ion Calculations'!$D$18+'AA Exact Masses'!$Q$3+'AA Exact Masses'!$Q$2-'Mass Ion Calculations'!$C$10-'Mass Ion Calculations'!$C11)/2-'Mass Ion Calculations'!$D$5,('Mass Ion Calculations'!$F$18+'AA Exact Masses'!$Q$3+'AA Exact Masses'!$Q$2-'Mass Ion Calculations'!$E$10-'Mass Ion Calculations'!$E11)/2-'Mass Ion Calculations'!$D$5),IF('Mass Ion Calculations'!$D$7="Yes", ('Mass Ion Calculations'!$D$15+'AA Exact Masses'!$Q$3+'AA Exact Masses'!$Q$2-'Mass Ion Calculations'!$C$10-'Mass Ion Calculations'!$C11)/2-'Mass Ion Calculations'!$D$5,('Mass Ion Calculations'!$F$15+'AA Exact Masses'!$Q$3+'AA Exact Masses'!$Q$2-'Mass Ion Calculations'!$E$10-'Mass Ion Calculations'!$E11)/2-'Mass Ion Calculations'!$D$5)))</f>
        <v>-413.62020499999994</v>
      </c>
      <c r="I10" s="3">
        <f>IF(OR($B10="",I$3=""),"",IF('Mass Ion Calculations'!$D$6="Yes",IF('Mass Ion Calculations'!$D$7="Yes",('Mass Ion Calculations'!$D$18+'AA Exact Masses'!$Q$3+'AA Exact Masses'!$Q$2-'Mass Ion Calculations'!$C$11-'Mass Ion Calculations'!$C11)/2-'Mass Ion Calculations'!$D$5,('Mass Ion Calculations'!$F$18+'AA Exact Masses'!$Q$3+'AA Exact Masses'!$Q$2-'Mass Ion Calculations'!$E$11-'Mass Ion Calculations'!$E11)/2-'Mass Ion Calculations'!$D$5),IF('Mass Ion Calculations'!$D$7="Yes", ('Mass Ion Calculations'!$D$15+'AA Exact Masses'!$Q$3+'AA Exact Masses'!$Q$2-'Mass Ion Calculations'!$C$11-'Mass Ion Calculations'!$C11)/2-'Mass Ion Calculations'!$D$5,('Mass Ion Calculations'!$F$15+'AA Exact Masses'!$Q$3+'AA Exact Masses'!$Q$2-'Mass Ion Calculations'!$E$11-'Mass Ion Calculations'!$E11)/2-'Mass Ion Calculations'!$D$5)))</f>
        <v>-414.11783500000001</v>
      </c>
      <c r="J10" s="3">
        <f>IF(OR($B10="",J$3=""),"",IF('Mass Ion Calculations'!$D$6="Yes",IF('Mass Ion Calculations'!$D$7="Yes",('Mass Ion Calculations'!$D$18+'AA Exact Masses'!$Q$3+'AA Exact Masses'!$Q$2-'Mass Ion Calculations'!$C$12-'Mass Ion Calculations'!$C11)/2-'Mass Ion Calculations'!$D$5,('Mass Ion Calculations'!$F$18+'AA Exact Masses'!$Q$3+'AA Exact Masses'!$Q$2-'Mass Ion Calculations'!$E$12-'Mass Ion Calculations'!$E11)/2-'Mass Ion Calculations'!$D$5),IF('Mass Ion Calculations'!$D$7="Yes", ('Mass Ion Calculations'!$D$15+'AA Exact Masses'!$Q$3+'AA Exact Masses'!$Q$2-'Mass Ion Calculations'!$C$12-'Mass Ion Calculations'!$C11)/2-'Mass Ion Calculations'!$D$5,('Mass Ion Calculations'!$F$15+'AA Exact Masses'!$Q$3+'AA Exact Masses'!$Q$2-'Mass Ion Calculations'!$E$12-'Mass Ion Calculations'!$E11)/2-'Mass Ion Calculations'!$D$5)))</f>
        <v>-406.61238000000003</v>
      </c>
      <c r="K10" s="3">
        <f>IF(OR($B10="",K$3=""),"",IF('Mass Ion Calculations'!$D$6="Yes",IF('Mass Ion Calculations'!$D$7="Yes",('Mass Ion Calculations'!$D$18+'AA Exact Masses'!$Q$3+'AA Exact Masses'!$Q$2-'Mass Ion Calculations'!$C$13-'Mass Ion Calculations'!$C11)/2-'Mass Ion Calculations'!$D$5,('Mass Ion Calculations'!$F$18+'AA Exact Masses'!$Q$3+'AA Exact Masses'!$Q$2-'Mass Ion Calculations'!$E$14-'Mass Ion Calculations'!$E11)/2-'Mass Ion Calculations'!$D$5),IF('Mass Ion Calculations'!$D$7="Yes", ('Mass Ion Calculations'!$D$15+'AA Exact Masses'!$Q$3+'AA Exact Masses'!$Q$2-'Mass Ion Calculations'!$C$13-'Mass Ion Calculations'!$C11)/2-'Mass Ion Calculations'!$D$5,('Mass Ion Calculations'!$F$15+'AA Exact Masses'!$Q$3+'AA Exact Masses'!$Q$2-'Mass Ion Calculations'!$E$14-'Mass Ion Calculations'!$E11)/2-'Mass Ion Calculations'!$D$5)))</f>
        <v>-421.59947</v>
      </c>
      <c r="L10" s="3">
        <f>IF(OR($B10="",L$3=""),"",IF('Mass Ion Calculations'!$D$6="Yes",IF('Mass Ion Calculations'!$D$7="Yes",('Mass Ion Calculations'!$D$18+'AA Exact Masses'!$Q$3+'AA Exact Masses'!$Q$2-'Mass Ion Calculations'!$C$14-'Mass Ion Calculations'!$C11)/2-'Mass Ion Calculations'!$D$5,('Mass Ion Calculations'!$F$18+'AA Exact Masses'!$Q$3+'AA Exact Masses'!$Q$2-'Mass Ion Calculations'!$E$15-'Mass Ion Calculations'!$E11)/2-'Mass Ion Calculations'!$D$5),IF('Mass Ion Calculations'!$D$7="Yes", ('Mass Ion Calculations'!$D$15+'AA Exact Masses'!$Q$3+'AA Exact Masses'!$Q$2-'Mass Ion Calculations'!$C$14-'Mass Ion Calculations'!$C11)/2-'Mass Ion Calculations'!$D$5,('Mass Ion Calculations'!$F$15+'AA Exact Masses'!$Q$3+'AA Exact Masses'!$Q$2-'Mass Ion Calculations'!$E$15-'Mass Ion Calculations'!$E11)/2-'Mass Ion Calculations'!$D$5)))</f>
        <v>-414.59164499999997</v>
      </c>
      <c r="M10" s="3">
        <f>IF(OR($B10="",M$3=""),"",IF('Mass Ion Calculations'!$D$6="Yes",IF('Mass Ion Calculations'!$D$7="Yes",('Mass Ion Calculations'!$D$18+'AA Exact Masses'!$Q$3+'AA Exact Masses'!$Q$2-'Mass Ion Calculations'!$C$15-'Mass Ion Calculations'!$C11)/2-'Mass Ion Calculations'!$D$5,('Mass Ion Calculations'!$F$18+'AA Exact Masses'!$Q$3+'AA Exact Masses'!$Q$2-'Mass Ion Calculations'!$E$16-'Mass Ion Calculations'!$E11)/2-'Mass Ion Calculations'!$D$5),IF('Mass Ion Calculations'!$D$7="Yes", ('Mass Ion Calculations'!$D$15+'AA Exact Masses'!$Q$3+'AA Exact Masses'!$Q$2-'Mass Ion Calculations'!$C$15-'Mass Ion Calculations'!$C11)/2-'Mass Ion Calculations'!$D$5,('Mass Ion Calculations'!$F$15+'AA Exact Masses'!$Q$3+'AA Exact Masses'!$Q$2-'Mass Ion Calculations'!$E$16-'Mass Ion Calculations'!$E11)/2-'Mass Ion Calculations'!$D$5)))</f>
        <v>-392.59672999999998</v>
      </c>
      <c r="N10" s="3">
        <f>IF(OR($B10="",N$3=""),"",IF('Mass Ion Calculations'!$D$6="Yes",IF('Mass Ion Calculations'!$D$7="Yes",('Mass Ion Calculations'!$D$18+'AA Exact Masses'!$Q$3+'AA Exact Masses'!$Q$2-'Mass Ion Calculations'!$C$16-'Mass Ion Calculations'!$C11)/2-'Mass Ion Calculations'!$D$5,('Mass Ion Calculations'!$F$18+'AA Exact Masses'!$Q$3+'AA Exact Masses'!$Q$2-'Mass Ion Calculations'!$E$17-'Mass Ion Calculations'!$E11)/2-'Mass Ion Calculations'!$D$5),IF('Mass Ion Calculations'!$D$7="Yes", ('Mass Ion Calculations'!$D$15+'AA Exact Masses'!$Q$3+'AA Exact Masses'!$Q$2-'Mass Ion Calculations'!$C$16-'Mass Ion Calculations'!$C11)/2-'Mass Ion Calculations'!$D$5,('Mass Ion Calculations'!$F$15+'AA Exact Masses'!$Q$3+'AA Exact Masses'!$Q$2-'Mass Ion Calculations'!$E$17-'Mass Ion Calculations'!$E11)/2-'Mass Ion Calculations'!$D$5)))</f>
        <v>-430.61238000000003</v>
      </c>
      <c r="O10" s="3">
        <f>IF(OR($B10="",O$3=""),"",IF('Mass Ion Calculations'!$D$6="Yes",IF('Mass Ion Calculations'!$D$7="Yes",('Mass Ion Calculations'!$D$18+'AA Exact Masses'!$Q$3+'AA Exact Masses'!$Q$2-'Mass Ion Calculations'!$C$17-'Mass Ion Calculations'!$C11)/2-'Mass Ion Calculations'!$D$5,('Mass Ion Calculations'!$F$18+'AA Exact Masses'!$Q$3+'AA Exact Masses'!$Q$2-'Mass Ion Calculations'!$E$18-'Mass Ion Calculations'!$E11)/2-'Mass Ion Calculations'!$D$5),IF('Mass Ion Calculations'!$D$7="Yes", ('Mass Ion Calculations'!$D$15+'AA Exact Masses'!$Q$3+'AA Exact Masses'!$Q$2-'Mass Ion Calculations'!$C$17-'Mass Ion Calculations'!$C11)/2-'Mass Ion Calculations'!$D$5,('Mass Ion Calculations'!$F$15+'AA Exact Masses'!$Q$3+'AA Exact Masses'!$Q$2-'Mass Ion Calculations'!$E$18-'Mass Ion Calculations'!$E11)/2-'Mass Ion Calculations'!$D$5)))</f>
        <v>-493.56070499999998</v>
      </c>
      <c r="P10" s="3">
        <f>IF(OR($B10="",P$3=""),"",IF('Mass Ion Calculations'!$D$6="Yes",IF('Mass Ion Calculations'!$D$7="Yes",('Mass Ion Calculations'!$D$18+'AA Exact Masses'!$Q$3+'AA Exact Masses'!$Q$2-'Mass Ion Calculations'!$C$19-'Mass Ion Calculations'!$C11)/2-'Mass Ion Calculations'!$D$5,('Mass Ion Calculations'!$F$18+'AA Exact Masses'!$Q$3+'AA Exact Masses'!$Q$2-'Mass Ion Calculations'!$E$19-'Mass Ion Calculations'!$E11)/2-'Mass Ion Calculations'!$D$5),IF('Mass Ion Calculations'!$D$7="Yes", ('Mass Ion Calculations'!$D$15+'AA Exact Masses'!$Q$3+'AA Exact Masses'!$Q$2-'Mass Ion Calculations'!$C$19-'Mass Ion Calculations'!$C11)/2-'Mass Ion Calculations'!$D$5,('Mass Ion Calculations'!$F$15+'AA Exact Masses'!$Q$3+'AA Exact Masses'!$Q$2-'Mass Ion Calculations'!$E$19-'Mass Ion Calculations'!$E11)/2-'Mass Ion Calculations'!$D$5)))</f>
        <v>-406.61238000000003</v>
      </c>
      <c r="Q10" s="3">
        <f>IF(OR($B10="",Q$3=""),"",IF('Mass Ion Calculations'!$D$6="Yes",IF('Mass Ion Calculations'!$D$7="Yes",('Mass Ion Calculations'!$D$18+'AA Exact Masses'!$Q$3+'AA Exact Masses'!$Q$2-'Mass Ion Calculations'!$C$20-'Mass Ion Calculations'!$C11)/2-'Mass Ion Calculations'!$D$5,('Mass Ion Calculations'!$F$18+'AA Exact Masses'!$Q$3+'AA Exact Masses'!$Q$2-'Mass Ion Calculations'!$E$20-'Mass Ion Calculations'!$E11)/2-'Mass Ion Calculations'!$D$5),IF('Mass Ion Calculations'!$D$7="Yes", ('Mass Ion Calculations'!$D$15+'AA Exact Masses'!$Q$3+'AA Exact Masses'!$Q$2-'Mass Ion Calculations'!$C$20-'Mass Ion Calculations'!$C11)/2-'Mass Ion Calculations'!$D$5,('Mass Ion Calculations'!$F$15+'AA Exact Masses'!$Q$3+'AA Exact Masses'!$Q$2-'Mass Ion Calculations'!$E$20-'Mass Ion Calculations'!$E11)/2-'Mass Ion Calculations'!$D$5)))</f>
        <v>-413.62020499999994</v>
      </c>
      <c r="R10" s="3" t="e">
        <f>IF(OR($B10="",R$3=""),"",IF('Mass Ion Calculations'!$D$6="Yes",IF('Mass Ion Calculations'!$D$7="Yes",('Mass Ion Calculations'!$D$18+'AA Exact Masses'!$Q$3+'AA Exact Masses'!$Q$2-'Mass Ion Calculations'!$C$21-'Mass Ion Calculations'!$C11)/2-'Mass Ion Calculations'!$D$5,('Mass Ion Calculations'!$F$18+'AA Exact Masses'!$Q$3+'AA Exact Masses'!$Q$2-'Mass Ion Calculations'!$E$21-'Mass Ion Calculations'!$E11)/2-'Mass Ion Calculations'!$D$5),IF('Mass Ion Calculations'!$D$7="Yes", ('Mass Ion Calculations'!$D$15+'AA Exact Masses'!$Q$3+'AA Exact Masses'!$Q$2-'Mass Ion Calculations'!$C$21-'Mass Ion Calculations'!$C11)/2-'Mass Ion Calculations'!$D$5,('Mass Ion Calculations'!$F$15+'AA Exact Masses'!$Q$3+'AA Exact Masses'!$Q$2-'Mass Ion Calculations'!$E$21-'Mass Ion Calculations'!$E11)/2-'Mass Ion Calculations'!$D$5)))</f>
        <v>#VALUE!</v>
      </c>
      <c r="S10" s="3" t="str">
        <f>IF(OR($B10="",S$3=""),"",IF('Mass Ion Calculations'!$D$6="Yes",IF('Mass Ion Calculations'!$D$7="Yes",('Mass Ion Calculations'!$D$18+'AA Exact Masses'!$Q$3+'AA Exact Masses'!$Q$2-'Mass Ion Calculations'!$C$22-'Mass Ion Calculations'!$C11)/2-'Mass Ion Calculations'!$D$5,('Mass Ion Calculations'!$F$18+'AA Exact Masses'!$Q$3+'AA Exact Masses'!$Q$2-'Mass Ion Calculations'!$E$22-'Mass Ion Calculations'!$E11)/2-'Mass Ion Calculations'!$D$5),IF('Mass Ion Calculations'!$D$7="Yes", ('Mass Ion Calculations'!$D$15+'AA Exact Masses'!$Q$3+'AA Exact Masses'!$Q$2-'Mass Ion Calculations'!$C$22-'Mass Ion Calculations'!$C11)/2-'Mass Ion Calculations'!$D$5,('Mass Ion Calculations'!$F$15+'AA Exact Masses'!$Q$3+'AA Exact Masses'!$Q$2-'Mass Ion Calculations'!$E$22-'Mass Ion Calculations'!$E11)/2-'Mass Ion Calculations'!$D$5)))</f>
        <v/>
      </c>
      <c r="T10" s="3" t="e">
        <f>IF(OR($B10="",T$3=""),"",IF('Mass Ion Calculations'!$D$6="Yes",IF('Mass Ion Calculations'!$D$7="Yes",('Mass Ion Calculations'!$D$18+'AA Exact Masses'!$Q$3+'AA Exact Masses'!$Q$2-'Mass Ion Calculations'!$C$22-'Mass Ion Calculations'!$C11)/2-'Mass Ion Calculations'!$D$5,('Mass Ion Calculations'!$F$18+'AA Exact Masses'!$Q$3+'AA Exact Masses'!$Q$2-'Mass Ion Calculations'!$E$22-'Mass Ion Calculations'!$E11)/2-'Mass Ion Calculations'!$D$5),IF('Mass Ion Calculations'!$D$7="Yes", ('Mass Ion Calculations'!$D$15+'AA Exact Masses'!$Q$3+'AA Exact Masses'!$Q$2-'Mass Ion Calculations'!$C$22-'Mass Ion Calculations'!$C11)/2-'Mass Ion Calculations'!$D$5,('Mass Ion Calculations'!$F$15+'AA Exact Masses'!$Q$3+'AA Exact Masses'!$Q$2-'Mass Ion Calculations'!$E$22-'Mass Ion Calculations'!$E11)/2-'Mass Ion Calculations'!$D$5)))</f>
        <v>#VALUE!</v>
      </c>
      <c r="U10" s="3" t="e">
        <f>IF(OR($B10="",U$3=""),"",IF('Mass Ion Calculations'!$D$6="Yes",IF('Mass Ion Calculations'!$D$7="Yes",('Mass Ion Calculations'!$D$18+'AA Exact Masses'!$Q$3+'AA Exact Masses'!$Q$2-'Mass Ion Calculations'!$C$23-'Mass Ion Calculations'!$C11)/2-'Mass Ion Calculations'!$D$5,('Mass Ion Calculations'!$F$18+'AA Exact Masses'!$Q$3+'AA Exact Masses'!$Q$2-'Mass Ion Calculations'!$E$23-'Mass Ion Calculations'!$E11)/2-'Mass Ion Calculations'!$D$5),IF('Mass Ion Calculations'!$D$7="Yes", ('Mass Ion Calculations'!$D$15+'AA Exact Masses'!$Q$3+'AA Exact Masses'!$Q$2-'Mass Ion Calculations'!$C$23-'Mass Ion Calculations'!$C11)/2-'Mass Ion Calculations'!$D$5,('Mass Ion Calculations'!$F$15+'AA Exact Masses'!$Q$3+'AA Exact Masses'!$Q$2-'Mass Ion Calculations'!$E$23-'Mass Ion Calculations'!$E11)/2-'Mass Ion Calculations'!$D$5)))</f>
        <v>#VALUE!</v>
      </c>
      <c r="V10" s="3" t="str">
        <f>IF(OR($B10="",V$3=""),"",IF('Mass Ion Calculations'!$D$6="Yes",IF('Mass Ion Calculations'!$D$7="Yes",('Mass Ion Calculations'!$D$18+'AA Exact Masses'!$Q$3+'AA Exact Masses'!$Q$2-'Mass Ion Calculations'!$C$24-'Mass Ion Calculations'!$C11)/2-'Mass Ion Calculations'!$D$5,('Mass Ion Calculations'!$F$18+'AA Exact Masses'!$Q$3+'AA Exact Masses'!$Q$2-'Mass Ion Calculations'!$E$24-'Mass Ion Calculations'!$E11)/2-'Mass Ion Calculations'!$D$5),IF('Mass Ion Calculations'!$D$7="Yes", ('Mass Ion Calculations'!$D$15+'AA Exact Masses'!$Q$3+'AA Exact Masses'!$Q$2-'Mass Ion Calculations'!$C$24-'Mass Ion Calculations'!$C11)/2-'Mass Ion Calculations'!$D$5,('Mass Ion Calculations'!$F$15+'AA Exact Masses'!$Q$3+'AA Exact Masses'!$Q$2-'Mass Ion Calculations'!$E$24-'Mass Ion Calculations'!$E11)/2-'Mass Ion Calculations'!$D$5)))</f>
        <v/>
      </c>
      <c r="W10" s="3" t="str">
        <f>IF(OR($B10="",W$3=""),"",IF('Mass Ion Calculations'!$D$6="Yes",IF('Mass Ion Calculations'!$D$7="Yes",('Mass Ion Calculations'!$D$18+'AA Exact Masses'!$Q$3+'AA Exact Masses'!$Q$2-'Mass Ion Calculations'!$C$25-'Mass Ion Calculations'!$C11)/2-'Mass Ion Calculations'!$D$5,('Mass Ion Calculations'!$F$18+'AA Exact Masses'!$Q$3+'AA Exact Masses'!$Q$2-'Mass Ion Calculations'!$E$25-'Mass Ion Calculations'!$E11)/2-'Mass Ion Calculations'!$D$5),IF('Mass Ion Calculations'!$D$7="Yes", ('Mass Ion Calculations'!$D$15+'AA Exact Masses'!$Q$3+'AA Exact Masses'!$Q$2-'Mass Ion Calculations'!$C$25-'Mass Ion Calculations'!$C11)/2-'Mass Ion Calculations'!$D$5,('Mass Ion Calculations'!$F$15+'AA Exact Masses'!$Q$3+'AA Exact Masses'!$Q$2-'Mass Ion Calculations'!$E$25-'Mass Ion Calculations'!$E11)/2-'Mass Ion Calculations'!$D$5)))</f>
        <v/>
      </c>
      <c r="X10" s="3" t="str">
        <f>IF(OR($B10="",X$3=""),"",IF('Mass Ion Calculations'!$D$6="Yes",IF('Mass Ion Calculations'!$D$7="Yes",('Mass Ion Calculations'!$D$18+'AA Exact Masses'!$Q$3+'AA Exact Masses'!$Q$2-'Mass Ion Calculations'!$C$26-'Mass Ion Calculations'!$C11)/2-'Mass Ion Calculations'!$D$5,('Mass Ion Calculations'!$F$18+'AA Exact Masses'!$Q$3+'AA Exact Masses'!$Q$2-'Mass Ion Calculations'!$E$26-'Mass Ion Calculations'!$E11)/2-'Mass Ion Calculations'!$D$5),IF('Mass Ion Calculations'!$D$7="Yes", ('Mass Ion Calculations'!$D$15+'AA Exact Masses'!$Q$3+'AA Exact Masses'!$Q$2-'Mass Ion Calculations'!$C$26-'Mass Ion Calculations'!$C11)/2-'Mass Ion Calculations'!$D$5,('Mass Ion Calculations'!$F$15+'AA Exact Masses'!$Q$3+'AA Exact Masses'!$Q$2-'Mass Ion Calculations'!$E$26-'Mass Ion Calculations'!$E11)/2-'Mass Ion Calculations'!$D$5)))</f>
        <v/>
      </c>
      <c r="Y10" s="3" t="str">
        <f>IF(OR($B10="",Y$3=""),"",IF('Mass Ion Calculations'!$D$6="Yes",IF('Mass Ion Calculations'!$D$7="Yes",('Mass Ion Calculations'!$D$18+'AA Exact Masses'!$Q$3+'AA Exact Masses'!$Q$2-'Mass Ion Calculations'!$C$27-'Mass Ion Calculations'!$C11)/2-'Mass Ion Calculations'!$D$5,('Mass Ion Calculations'!$F$18+'AA Exact Masses'!$Q$3+'AA Exact Masses'!$Q$2-'Mass Ion Calculations'!$E$27-'Mass Ion Calculations'!$E11)/2-'Mass Ion Calculations'!$D$5),IF('Mass Ion Calculations'!$D$7="Yes", ('Mass Ion Calculations'!$D$15+'AA Exact Masses'!$Q$3+'AA Exact Masses'!$Q$2-'Mass Ion Calculations'!$C$27-'Mass Ion Calculations'!$C11)/2-'Mass Ion Calculations'!$D$5,('Mass Ion Calculations'!$F$15+'AA Exact Masses'!$Q$3+'AA Exact Masses'!$Q$2-'Mass Ion Calculations'!$E$27-'Mass Ion Calculations'!$E11)/2-'Mass Ion Calculations'!$D$5)))</f>
        <v/>
      </c>
      <c r="Z10" s="3" t="str">
        <f>IF(OR($B10="",Z$3=""),"",IF('Mass Ion Calculations'!$D$6="Yes",IF('Mass Ion Calculations'!$D$7="Yes",('Mass Ion Calculations'!$D$18+'AA Exact Masses'!$Q$3+'AA Exact Masses'!$Q$2-'Mass Ion Calculations'!$C$28-'Mass Ion Calculations'!$C11)/2-'Mass Ion Calculations'!$D$5,('Mass Ion Calculations'!$F$18+'AA Exact Masses'!$Q$3+'AA Exact Masses'!$Q$2-'Mass Ion Calculations'!$E$28-'Mass Ion Calculations'!$E11)/2-'Mass Ion Calculations'!$D$5),IF('Mass Ion Calculations'!$D$7="Yes", ('Mass Ion Calculations'!$D$15+'AA Exact Masses'!$Q$3+'AA Exact Masses'!$Q$2-'Mass Ion Calculations'!$C$28-'Mass Ion Calculations'!$C11)/2-'Mass Ion Calculations'!$D$5,('Mass Ion Calculations'!$F$15+'AA Exact Masses'!$Q$3+'AA Exact Masses'!$Q$2-'Mass Ion Calculations'!$E$28-'Mass Ion Calculations'!$E11)/2-'Mass Ion Calculations'!$D$5)))</f>
        <v/>
      </c>
    </row>
    <row r="11" spans="2:26" x14ac:dyDescent="0.25">
      <c r="B11" s="4" t="str">
        <f>IF('Mass Ion Calculations'!B12="","", 'Mass Ion Calculations'!B12)</f>
        <v>Val</v>
      </c>
      <c r="C11" s="3">
        <f>IF(OR($B11="",C$3=""),"",IF('Mass Ion Calculations'!$D$6="Yes",IF('Mass Ion Calculations'!$D$7="Yes",('Mass Ion Calculations'!$D$18+'AA Exact Masses'!$Q$3+'AA Exact Masses'!$Q$2-'Mass Ion Calculations'!$C$5-'Mass Ion Calculations'!$C12)/2-'Mass Ion Calculations'!$D$5,('Mass Ion Calculations'!$F$18+'AA Exact Masses'!$Q$3+'AA Exact Masses'!$Q$2-'Mass Ion Calculations'!$E$5-'Mass Ion Calculations'!$E12)/2-'Mass Ion Calculations'!$D$5),IF('Mass Ion Calculations'!$D$7="Yes", ('Mass Ion Calculations'!$D$15+'AA Exact Masses'!$Q$3+'AA Exact Masses'!$Q$2-'Mass Ion Calculations'!$C$5-'Mass Ion Calculations'!$C12)/2-'Mass Ion Calculations'!$D$5,('Mass Ion Calculations'!$F$15+'AA Exact Masses'!$Q$3+'AA Exact Masses'!$Q$2-'Mass Ion Calculations'!$E$5-'Mass Ion Calculations'!$E12)/2-'Mass Ion Calculations'!$D$5)))</f>
        <v>-406.61238000000003</v>
      </c>
      <c r="D11" s="3">
        <f>IF(OR($B11="",D$3=""),"",IF('Mass Ion Calculations'!$D$6="Yes",IF('Mass Ion Calculations'!$D$7="Yes",('Mass Ion Calculations'!$D$18+'AA Exact Masses'!$Q$3+'AA Exact Masses'!$Q$2-'Mass Ion Calculations'!$C$6-'Mass Ion Calculations'!$C12)/2-'Mass Ion Calculations'!$D$5,('Mass Ion Calculations'!$F$18+'AA Exact Masses'!$Q$3+'AA Exact Masses'!$Q$2-'Mass Ion Calculations'!$E$6-'Mass Ion Calculations'!$E12)/2-'Mass Ion Calculations'!$D$5),IF('Mass Ion Calculations'!$D$7="Yes", ('Mass Ion Calculations'!$D$15+'AA Exact Masses'!$Q$3+'AA Exact Masses'!$Q$2-'Mass Ion Calculations'!$C$6-'Mass Ion Calculations'!$C12)/2-'Mass Ion Calculations'!$D$5,('Mass Ion Calculations'!$F$15+'AA Exact Masses'!$Q$3+'AA Exact Masses'!$Q$2-'Mass Ion Calculations'!$E$6-'Mass Ion Calculations'!$E12)/2-'Mass Ion Calculations'!$D$5)))</f>
        <v>-385.091275</v>
      </c>
      <c r="E11" s="3">
        <f>IF(OR($B11="",E$3=""),"",IF('Mass Ion Calculations'!$D$6="Yes",IF('Mass Ion Calculations'!$D$7="Yes",('Mass Ion Calculations'!$D$18+'AA Exact Masses'!$Q$3+'AA Exact Masses'!$Q$2-'Mass Ion Calculations'!$C$7-'Mass Ion Calculations'!$C12)/2-'Mass Ion Calculations'!$D$5,('Mass Ion Calculations'!$F$18+'AA Exact Masses'!$Q$3+'AA Exact Masses'!$Q$2-'Mass Ion Calculations'!$E$7-'Mass Ion Calculations'!$E12)/2-'Mass Ion Calculations'!$D$5),IF('Mass Ion Calculations'!$D$7="Yes", ('Mass Ion Calculations'!$D$15+'AA Exact Masses'!$Q$3+'AA Exact Masses'!$Q$2-'Mass Ion Calculations'!$C$7-'Mass Ion Calculations'!$C12)/2-'Mass Ion Calculations'!$D$5,('Mass Ion Calculations'!$F$15+'AA Exact Masses'!$Q$3+'AA Exact Masses'!$Q$2-'Mass Ion Calculations'!$E$7-'Mass Ion Calculations'!$E12)/2-'Mass Ion Calculations'!$D$5)))</f>
        <v>-406.11474999999996</v>
      </c>
      <c r="F11" s="3">
        <f>IF(OR($B11="",F$3=""),"",IF('Mass Ion Calculations'!$D$6="Yes",IF('Mass Ion Calculations'!$D$7="Yes",('Mass Ion Calculations'!$D$18+'AA Exact Masses'!$Q$3+'AA Exact Masses'!$Q$2-'Mass Ion Calculations'!$C$8-'Mass Ion Calculations'!$C12)/2-'Mass Ion Calculations'!$D$5,('Mass Ion Calculations'!$F$18+'AA Exact Masses'!$Q$3+'AA Exact Masses'!$Q$2-'Mass Ion Calculations'!$E$8-'Mass Ion Calculations'!$E12)/2-'Mass Ion Calculations'!$D$5),IF('Mass Ion Calculations'!$D$7="Yes", ('Mass Ion Calculations'!$D$15+'AA Exact Masses'!$Q$3+'AA Exact Masses'!$Q$2-'Mass Ion Calculations'!$C$8-'Mass Ion Calculations'!$C12)/2-'Mass Ion Calculations'!$D$5,('Mass Ion Calculations'!$F$15+'AA Exact Masses'!$Q$3+'AA Exact Masses'!$Q$2-'Mass Ion Calculations'!$E$8-'Mass Ion Calculations'!$E12)/2-'Mass Ion Calculations'!$D$5)))</f>
        <v>-406.11474999999996</v>
      </c>
      <c r="G11" s="3">
        <f>IF(OR($B11="",G$3=""),"",IF('Mass Ion Calculations'!$D$6="Yes",IF('Mass Ion Calculations'!$D$7="Yes",('Mass Ion Calculations'!$D$18+'AA Exact Masses'!$Q$3+'AA Exact Masses'!$Q$2-'Mass Ion Calculations'!$C$9-'Mass Ion Calculations'!$C12)/2-'Mass Ion Calculations'!$D$5,('Mass Ion Calculations'!$F$18+'AA Exact Masses'!$Q$3+'AA Exact Masses'!$Q$2-'Mass Ion Calculations'!$E$9-'Mass Ion Calculations'!$E12)/2-'Mass Ion Calculations'!$D$5),IF('Mass Ion Calculations'!$D$7="Yes", ('Mass Ion Calculations'!$D$15+'AA Exact Masses'!$Q$3+'AA Exact Masses'!$Q$2-'Mass Ion Calculations'!$C$9-'Mass Ion Calculations'!$C12)/2-'Mass Ion Calculations'!$D$5,('Mass Ion Calculations'!$F$15+'AA Exact Masses'!$Q$3+'AA Exact Masses'!$Q$2-'Mass Ion Calculations'!$E$9-'Mass Ion Calculations'!$E12)/2-'Mass Ion Calculations'!$D$5)))</f>
        <v>-385.091275</v>
      </c>
      <c r="H11" s="3">
        <f>IF(OR($B11="",H$3=""),"",IF('Mass Ion Calculations'!$D$6="Yes",IF('Mass Ion Calculations'!$D$7="Yes",('Mass Ion Calculations'!$D$18+'AA Exact Masses'!$Q$3+'AA Exact Masses'!$Q$2-'Mass Ion Calculations'!$C$10-'Mass Ion Calculations'!$C12)/2-'Mass Ion Calculations'!$D$5,('Mass Ion Calculations'!$F$18+'AA Exact Masses'!$Q$3+'AA Exact Masses'!$Q$2-'Mass Ion Calculations'!$E$10-'Mass Ion Calculations'!$E12)/2-'Mass Ion Calculations'!$D$5),IF('Mass Ion Calculations'!$D$7="Yes", ('Mass Ion Calculations'!$D$15+'AA Exact Masses'!$Q$3+'AA Exact Masses'!$Q$2-'Mass Ion Calculations'!$C$10-'Mass Ion Calculations'!$C12)/2-'Mass Ion Calculations'!$D$5,('Mass Ion Calculations'!$F$15+'AA Exact Masses'!$Q$3+'AA Exact Masses'!$Q$2-'Mass Ion Calculations'!$E$10-'Mass Ion Calculations'!$E12)/2-'Mass Ion Calculations'!$D$5)))</f>
        <v>-406.11474999999996</v>
      </c>
      <c r="I11" s="3">
        <f>IF(OR($B11="",I$3=""),"",IF('Mass Ion Calculations'!$D$6="Yes",IF('Mass Ion Calculations'!$D$7="Yes",('Mass Ion Calculations'!$D$18+'AA Exact Masses'!$Q$3+'AA Exact Masses'!$Q$2-'Mass Ion Calculations'!$C$11-'Mass Ion Calculations'!$C12)/2-'Mass Ion Calculations'!$D$5,('Mass Ion Calculations'!$F$18+'AA Exact Masses'!$Q$3+'AA Exact Masses'!$Q$2-'Mass Ion Calculations'!$E$11-'Mass Ion Calculations'!$E12)/2-'Mass Ion Calculations'!$D$5),IF('Mass Ion Calculations'!$D$7="Yes", ('Mass Ion Calculations'!$D$15+'AA Exact Masses'!$Q$3+'AA Exact Masses'!$Q$2-'Mass Ion Calculations'!$C$11-'Mass Ion Calculations'!$C12)/2-'Mass Ion Calculations'!$D$5,('Mass Ion Calculations'!$F$15+'AA Exact Masses'!$Q$3+'AA Exact Masses'!$Q$2-'Mass Ion Calculations'!$E$11-'Mass Ion Calculations'!$E12)/2-'Mass Ion Calculations'!$D$5)))</f>
        <v>-406.61238000000003</v>
      </c>
      <c r="J11" s="3">
        <f>IF(OR($B11="",J$3=""),"",IF('Mass Ion Calculations'!$D$6="Yes",IF('Mass Ion Calculations'!$D$7="Yes",('Mass Ion Calculations'!$D$18+'AA Exact Masses'!$Q$3+'AA Exact Masses'!$Q$2-'Mass Ion Calculations'!$C$12-'Mass Ion Calculations'!$C12)/2-'Mass Ion Calculations'!$D$5,('Mass Ion Calculations'!$F$18+'AA Exact Masses'!$Q$3+'AA Exact Masses'!$Q$2-'Mass Ion Calculations'!$E$12-'Mass Ion Calculations'!$E12)/2-'Mass Ion Calculations'!$D$5),IF('Mass Ion Calculations'!$D$7="Yes", ('Mass Ion Calculations'!$D$15+'AA Exact Masses'!$Q$3+'AA Exact Masses'!$Q$2-'Mass Ion Calculations'!$C$12-'Mass Ion Calculations'!$C12)/2-'Mass Ion Calculations'!$D$5,('Mass Ion Calculations'!$F$15+'AA Exact Masses'!$Q$3+'AA Exact Masses'!$Q$2-'Mass Ion Calculations'!$E$12-'Mass Ion Calculations'!$E12)/2-'Mass Ion Calculations'!$D$5)))</f>
        <v>-399.10692500000005</v>
      </c>
      <c r="K11" s="3">
        <f>IF(OR($B11="",K$3=""),"",IF('Mass Ion Calculations'!$D$6="Yes",IF('Mass Ion Calculations'!$D$7="Yes",('Mass Ion Calculations'!$D$18+'AA Exact Masses'!$Q$3+'AA Exact Masses'!$Q$2-'Mass Ion Calculations'!$C$13-'Mass Ion Calculations'!$C12)/2-'Mass Ion Calculations'!$D$5,('Mass Ion Calculations'!$F$18+'AA Exact Masses'!$Q$3+'AA Exact Masses'!$Q$2-'Mass Ion Calculations'!$E$14-'Mass Ion Calculations'!$E12)/2-'Mass Ion Calculations'!$D$5),IF('Mass Ion Calculations'!$D$7="Yes", ('Mass Ion Calculations'!$D$15+'AA Exact Masses'!$Q$3+'AA Exact Masses'!$Q$2-'Mass Ion Calculations'!$C$13-'Mass Ion Calculations'!$C12)/2-'Mass Ion Calculations'!$D$5,('Mass Ion Calculations'!$F$15+'AA Exact Masses'!$Q$3+'AA Exact Masses'!$Q$2-'Mass Ion Calculations'!$E$14-'Mass Ion Calculations'!$E12)/2-'Mass Ion Calculations'!$D$5)))</f>
        <v>-414.09401500000001</v>
      </c>
      <c r="L11" s="3">
        <f>IF(OR($B11="",L$3=""),"",IF('Mass Ion Calculations'!$D$6="Yes",IF('Mass Ion Calculations'!$D$7="Yes",('Mass Ion Calculations'!$D$18+'AA Exact Masses'!$Q$3+'AA Exact Masses'!$Q$2-'Mass Ion Calculations'!$C$14-'Mass Ion Calculations'!$C12)/2-'Mass Ion Calculations'!$D$5,('Mass Ion Calculations'!$F$18+'AA Exact Masses'!$Q$3+'AA Exact Masses'!$Q$2-'Mass Ion Calculations'!$E$15-'Mass Ion Calculations'!$E12)/2-'Mass Ion Calculations'!$D$5),IF('Mass Ion Calculations'!$D$7="Yes", ('Mass Ion Calculations'!$D$15+'AA Exact Masses'!$Q$3+'AA Exact Masses'!$Q$2-'Mass Ion Calculations'!$C$14-'Mass Ion Calculations'!$C12)/2-'Mass Ion Calculations'!$D$5,('Mass Ion Calculations'!$F$15+'AA Exact Masses'!$Q$3+'AA Exact Masses'!$Q$2-'Mass Ion Calculations'!$E$15-'Mass Ion Calculations'!$E12)/2-'Mass Ion Calculations'!$D$5)))</f>
        <v>-407.08618999999999</v>
      </c>
      <c r="M11" s="3">
        <f>IF(OR($B11="",M$3=""),"",IF('Mass Ion Calculations'!$D$6="Yes",IF('Mass Ion Calculations'!$D$7="Yes",('Mass Ion Calculations'!$D$18+'AA Exact Masses'!$Q$3+'AA Exact Masses'!$Q$2-'Mass Ion Calculations'!$C$15-'Mass Ion Calculations'!$C12)/2-'Mass Ion Calculations'!$D$5,('Mass Ion Calculations'!$F$18+'AA Exact Masses'!$Q$3+'AA Exact Masses'!$Q$2-'Mass Ion Calculations'!$E$16-'Mass Ion Calculations'!$E12)/2-'Mass Ion Calculations'!$D$5),IF('Mass Ion Calculations'!$D$7="Yes", ('Mass Ion Calculations'!$D$15+'AA Exact Masses'!$Q$3+'AA Exact Masses'!$Q$2-'Mass Ion Calculations'!$C$15-'Mass Ion Calculations'!$C12)/2-'Mass Ion Calculations'!$D$5,('Mass Ion Calculations'!$F$15+'AA Exact Masses'!$Q$3+'AA Exact Masses'!$Q$2-'Mass Ion Calculations'!$E$16-'Mass Ion Calculations'!$E12)/2-'Mass Ion Calculations'!$D$5)))</f>
        <v>-385.091275</v>
      </c>
      <c r="N11" s="3">
        <f>IF(OR($B11="",N$3=""),"",IF('Mass Ion Calculations'!$D$6="Yes",IF('Mass Ion Calculations'!$D$7="Yes",('Mass Ion Calculations'!$D$18+'AA Exact Masses'!$Q$3+'AA Exact Masses'!$Q$2-'Mass Ion Calculations'!$C$16-'Mass Ion Calculations'!$C12)/2-'Mass Ion Calculations'!$D$5,('Mass Ion Calculations'!$F$18+'AA Exact Masses'!$Q$3+'AA Exact Masses'!$Q$2-'Mass Ion Calculations'!$E$17-'Mass Ion Calculations'!$E12)/2-'Mass Ion Calculations'!$D$5),IF('Mass Ion Calculations'!$D$7="Yes", ('Mass Ion Calculations'!$D$15+'AA Exact Masses'!$Q$3+'AA Exact Masses'!$Q$2-'Mass Ion Calculations'!$C$16-'Mass Ion Calculations'!$C12)/2-'Mass Ion Calculations'!$D$5,('Mass Ion Calculations'!$F$15+'AA Exact Masses'!$Q$3+'AA Exact Masses'!$Q$2-'Mass Ion Calculations'!$E$17-'Mass Ion Calculations'!$E12)/2-'Mass Ion Calculations'!$D$5)))</f>
        <v>-423.10692500000005</v>
      </c>
      <c r="O11" s="3">
        <f>IF(OR($B11="",O$3=""),"",IF('Mass Ion Calculations'!$D$6="Yes",IF('Mass Ion Calculations'!$D$7="Yes",('Mass Ion Calculations'!$D$18+'AA Exact Masses'!$Q$3+'AA Exact Masses'!$Q$2-'Mass Ion Calculations'!$C$17-'Mass Ion Calculations'!$C12)/2-'Mass Ion Calculations'!$D$5,('Mass Ion Calculations'!$F$18+'AA Exact Masses'!$Q$3+'AA Exact Masses'!$Q$2-'Mass Ion Calculations'!$E$18-'Mass Ion Calculations'!$E12)/2-'Mass Ion Calculations'!$D$5),IF('Mass Ion Calculations'!$D$7="Yes", ('Mass Ion Calculations'!$D$15+'AA Exact Masses'!$Q$3+'AA Exact Masses'!$Q$2-'Mass Ion Calculations'!$C$17-'Mass Ion Calculations'!$C12)/2-'Mass Ion Calculations'!$D$5,('Mass Ion Calculations'!$F$15+'AA Exact Masses'!$Q$3+'AA Exact Masses'!$Q$2-'Mass Ion Calculations'!$E$18-'Mass Ion Calculations'!$E12)/2-'Mass Ion Calculations'!$D$5)))</f>
        <v>-486.05525</v>
      </c>
      <c r="P11" s="3">
        <f>IF(OR($B11="",P$3=""),"",IF('Mass Ion Calculations'!$D$6="Yes",IF('Mass Ion Calculations'!$D$7="Yes",('Mass Ion Calculations'!$D$18+'AA Exact Masses'!$Q$3+'AA Exact Masses'!$Q$2-'Mass Ion Calculations'!$C$19-'Mass Ion Calculations'!$C12)/2-'Mass Ion Calculations'!$D$5,('Mass Ion Calculations'!$F$18+'AA Exact Masses'!$Q$3+'AA Exact Masses'!$Q$2-'Mass Ion Calculations'!$E$19-'Mass Ion Calculations'!$E12)/2-'Mass Ion Calculations'!$D$5),IF('Mass Ion Calculations'!$D$7="Yes", ('Mass Ion Calculations'!$D$15+'AA Exact Masses'!$Q$3+'AA Exact Masses'!$Q$2-'Mass Ion Calculations'!$C$19-'Mass Ion Calculations'!$C12)/2-'Mass Ion Calculations'!$D$5,('Mass Ion Calculations'!$F$15+'AA Exact Masses'!$Q$3+'AA Exact Masses'!$Q$2-'Mass Ion Calculations'!$E$19-'Mass Ion Calculations'!$E12)/2-'Mass Ion Calculations'!$D$5)))</f>
        <v>-399.10692500000005</v>
      </c>
      <c r="Q11" s="3">
        <f>IF(OR($B11="",Q$3=""),"",IF('Mass Ion Calculations'!$D$6="Yes",IF('Mass Ion Calculations'!$D$7="Yes",('Mass Ion Calculations'!$D$18+'AA Exact Masses'!$Q$3+'AA Exact Masses'!$Q$2-'Mass Ion Calculations'!$C$20-'Mass Ion Calculations'!$C12)/2-'Mass Ion Calculations'!$D$5,('Mass Ion Calculations'!$F$18+'AA Exact Masses'!$Q$3+'AA Exact Masses'!$Q$2-'Mass Ion Calculations'!$E$20-'Mass Ion Calculations'!$E12)/2-'Mass Ion Calculations'!$D$5),IF('Mass Ion Calculations'!$D$7="Yes", ('Mass Ion Calculations'!$D$15+'AA Exact Masses'!$Q$3+'AA Exact Masses'!$Q$2-'Mass Ion Calculations'!$C$20-'Mass Ion Calculations'!$C12)/2-'Mass Ion Calculations'!$D$5,('Mass Ion Calculations'!$F$15+'AA Exact Masses'!$Q$3+'AA Exact Masses'!$Q$2-'Mass Ion Calculations'!$E$20-'Mass Ion Calculations'!$E12)/2-'Mass Ion Calculations'!$D$5)))</f>
        <v>-406.11474999999996</v>
      </c>
      <c r="R11" s="3" t="e">
        <f>IF(OR($B11="",R$3=""),"",IF('Mass Ion Calculations'!$D$6="Yes",IF('Mass Ion Calculations'!$D$7="Yes",('Mass Ion Calculations'!$D$18+'AA Exact Masses'!$Q$3+'AA Exact Masses'!$Q$2-'Mass Ion Calculations'!$C$21-'Mass Ion Calculations'!$C12)/2-'Mass Ion Calculations'!$D$5,('Mass Ion Calculations'!$F$18+'AA Exact Masses'!$Q$3+'AA Exact Masses'!$Q$2-'Mass Ion Calculations'!$E$21-'Mass Ion Calculations'!$E12)/2-'Mass Ion Calculations'!$D$5),IF('Mass Ion Calculations'!$D$7="Yes", ('Mass Ion Calculations'!$D$15+'AA Exact Masses'!$Q$3+'AA Exact Masses'!$Q$2-'Mass Ion Calculations'!$C$21-'Mass Ion Calculations'!$C12)/2-'Mass Ion Calculations'!$D$5,('Mass Ion Calculations'!$F$15+'AA Exact Masses'!$Q$3+'AA Exact Masses'!$Q$2-'Mass Ion Calculations'!$E$21-'Mass Ion Calculations'!$E12)/2-'Mass Ion Calculations'!$D$5)))</f>
        <v>#VALUE!</v>
      </c>
      <c r="S11" s="3" t="str">
        <f>IF(OR($B11="",S$3=""),"",IF('Mass Ion Calculations'!$D$6="Yes",IF('Mass Ion Calculations'!$D$7="Yes",('Mass Ion Calculations'!$D$18+'AA Exact Masses'!$Q$3+'AA Exact Masses'!$Q$2-'Mass Ion Calculations'!$C$22-'Mass Ion Calculations'!$C12)/2-'Mass Ion Calculations'!$D$5,('Mass Ion Calculations'!$F$18+'AA Exact Masses'!$Q$3+'AA Exact Masses'!$Q$2-'Mass Ion Calculations'!$E$22-'Mass Ion Calculations'!$E12)/2-'Mass Ion Calculations'!$D$5),IF('Mass Ion Calculations'!$D$7="Yes", ('Mass Ion Calculations'!$D$15+'AA Exact Masses'!$Q$3+'AA Exact Masses'!$Q$2-'Mass Ion Calculations'!$C$22-'Mass Ion Calculations'!$C12)/2-'Mass Ion Calculations'!$D$5,('Mass Ion Calculations'!$F$15+'AA Exact Masses'!$Q$3+'AA Exact Masses'!$Q$2-'Mass Ion Calculations'!$E$22-'Mass Ion Calculations'!$E12)/2-'Mass Ion Calculations'!$D$5)))</f>
        <v/>
      </c>
      <c r="T11" s="3" t="e">
        <f>IF(OR($B11="",T$3=""),"",IF('Mass Ion Calculations'!$D$6="Yes",IF('Mass Ion Calculations'!$D$7="Yes",('Mass Ion Calculations'!$D$18+'AA Exact Masses'!$Q$3+'AA Exact Masses'!$Q$2-'Mass Ion Calculations'!$C$22-'Mass Ion Calculations'!$C12)/2-'Mass Ion Calculations'!$D$5,('Mass Ion Calculations'!$F$18+'AA Exact Masses'!$Q$3+'AA Exact Masses'!$Q$2-'Mass Ion Calculations'!$E$22-'Mass Ion Calculations'!$E12)/2-'Mass Ion Calculations'!$D$5),IF('Mass Ion Calculations'!$D$7="Yes", ('Mass Ion Calculations'!$D$15+'AA Exact Masses'!$Q$3+'AA Exact Masses'!$Q$2-'Mass Ion Calculations'!$C$22-'Mass Ion Calculations'!$C12)/2-'Mass Ion Calculations'!$D$5,('Mass Ion Calculations'!$F$15+'AA Exact Masses'!$Q$3+'AA Exact Masses'!$Q$2-'Mass Ion Calculations'!$E$22-'Mass Ion Calculations'!$E12)/2-'Mass Ion Calculations'!$D$5)))</f>
        <v>#VALUE!</v>
      </c>
      <c r="U11" s="3" t="e">
        <f>IF(OR($B11="",U$3=""),"",IF('Mass Ion Calculations'!$D$6="Yes",IF('Mass Ion Calculations'!$D$7="Yes",('Mass Ion Calculations'!$D$18+'AA Exact Masses'!$Q$3+'AA Exact Masses'!$Q$2-'Mass Ion Calculations'!$C$23-'Mass Ion Calculations'!$C12)/2-'Mass Ion Calculations'!$D$5,('Mass Ion Calculations'!$F$18+'AA Exact Masses'!$Q$3+'AA Exact Masses'!$Q$2-'Mass Ion Calculations'!$E$23-'Mass Ion Calculations'!$E12)/2-'Mass Ion Calculations'!$D$5),IF('Mass Ion Calculations'!$D$7="Yes", ('Mass Ion Calculations'!$D$15+'AA Exact Masses'!$Q$3+'AA Exact Masses'!$Q$2-'Mass Ion Calculations'!$C$23-'Mass Ion Calculations'!$C12)/2-'Mass Ion Calculations'!$D$5,('Mass Ion Calculations'!$F$15+'AA Exact Masses'!$Q$3+'AA Exact Masses'!$Q$2-'Mass Ion Calculations'!$E$23-'Mass Ion Calculations'!$E12)/2-'Mass Ion Calculations'!$D$5)))</f>
        <v>#VALUE!</v>
      </c>
      <c r="V11" s="3" t="str">
        <f>IF(OR($B11="",V$3=""),"",IF('Mass Ion Calculations'!$D$6="Yes",IF('Mass Ion Calculations'!$D$7="Yes",('Mass Ion Calculations'!$D$18+'AA Exact Masses'!$Q$3+'AA Exact Masses'!$Q$2-'Mass Ion Calculations'!$C$24-'Mass Ion Calculations'!$C12)/2-'Mass Ion Calculations'!$D$5,('Mass Ion Calculations'!$F$18+'AA Exact Masses'!$Q$3+'AA Exact Masses'!$Q$2-'Mass Ion Calculations'!$E$24-'Mass Ion Calculations'!$E12)/2-'Mass Ion Calculations'!$D$5),IF('Mass Ion Calculations'!$D$7="Yes", ('Mass Ion Calculations'!$D$15+'AA Exact Masses'!$Q$3+'AA Exact Masses'!$Q$2-'Mass Ion Calculations'!$C$24-'Mass Ion Calculations'!$C12)/2-'Mass Ion Calculations'!$D$5,('Mass Ion Calculations'!$F$15+'AA Exact Masses'!$Q$3+'AA Exact Masses'!$Q$2-'Mass Ion Calculations'!$E$24-'Mass Ion Calculations'!$E12)/2-'Mass Ion Calculations'!$D$5)))</f>
        <v/>
      </c>
      <c r="W11" s="3" t="str">
        <f>IF(OR($B11="",W$3=""),"",IF('Mass Ion Calculations'!$D$6="Yes",IF('Mass Ion Calculations'!$D$7="Yes",('Mass Ion Calculations'!$D$18+'AA Exact Masses'!$Q$3+'AA Exact Masses'!$Q$2-'Mass Ion Calculations'!$C$25-'Mass Ion Calculations'!$C12)/2-'Mass Ion Calculations'!$D$5,('Mass Ion Calculations'!$F$18+'AA Exact Masses'!$Q$3+'AA Exact Masses'!$Q$2-'Mass Ion Calculations'!$E$25-'Mass Ion Calculations'!$E12)/2-'Mass Ion Calculations'!$D$5),IF('Mass Ion Calculations'!$D$7="Yes", ('Mass Ion Calculations'!$D$15+'AA Exact Masses'!$Q$3+'AA Exact Masses'!$Q$2-'Mass Ion Calculations'!$C$25-'Mass Ion Calculations'!$C12)/2-'Mass Ion Calculations'!$D$5,('Mass Ion Calculations'!$F$15+'AA Exact Masses'!$Q$3+'AA Exact Masses'!$Q$2-'Mass Ion Calculations'!$E$25-'Mass Ion Calculations'!$E12)/2-'Mass Ion Calculations'!$D$5)))</f>
        <v/>
      </c>
      <c r="X11" s="3" t="str">
        <f>IF(OR($B11="",X$3=""),"",IF('Mass Ion Calculations'!$D$6="Yes",IF('Mass Ion Calculations'!$D$7="Yes",('Mass Ion Calculations'!$D$18+'AA Exact Masses'!$Q$3+'AA Exact Masses'!$Q$2-'Mass Ion Calculations'!$C$26-'Mass Ion Calculations'!$C12)/2-'Mass Ion Calculations'!$D$5,('Mass Ion Calculations'!$F$18+'AA Exact Masses'!$Q$3+'AA Exact Masses'!$Q$2-'Mass Ion Calculations'!$E$26-'Mass Ion Calculations'!$E12)/2-'Mass Ion Calculations'!$D$5),IF('Mass Ion Calculations'!$D$7="Yes", ('Mass Ion Calculations'!$D$15+'AA Exact Masses'!$Q$3+'AA Exact Masses'!$Q$2-'Mass Ion Calculations'!$C$26-'Mass Ion Calculations'!$C12)/2-'Mass Ion Calculations'!$D$5,('Mass Ion Calculations'!$F$15+'AA Exact Masses'!$Q$3+'AA Exact Masses'!$Q$2-'Mass Ion Calculations'!$E$26-'Mass Ion Calculations'!$E12)/2-'Mass Ion Calculations'!$D$5)))</f>
        <v/>
      </c>
      <c r="Y11" s="3" t="str">
        <f>IF(OR($B11="",Y$3=""),"",IF('Mass Ion Calculations'!$D$6="Yes",IF('Mass Ion Calculations'!$D$7="Yes",('Mass Ion Calculations'!$D$18+'AA Exact Masses'!$Q$3+'AA Exact Masses'!$Q$2-'Mass Ion Calculations'!$C$27-'Mass Ion Calculations'!$C12)/2-'Mass Ion Calculations'!$D$5,('Mass Ion Calculations'!$F$18+'AA Exact Masses'!$Q$3+'AA Exact Masses'!$Q$2-'Mass Ion Calculations'!$E$27-'Mass Ion Calculations'!$E12)/2-'Mass Ion Calculations'!$D$5),IF('Mass Ion Calculations'!$D$7="Yes", ('Mass Ion Calculations'!$D$15+'AA Exact Masses'!$Q$3+'AA Exact Masses'!$Q$2-'Mass Ion Calculations'!$C$27-'Mass Ion Calculations'!$C12)/2-'Mass Ion Calculations'!$D$5,('Mass Ion Calculations'!$F$15+'AA Exact Masses'!$Q$3+'AA Exact Masses'!$Q$2-'Mass Ion Calculations'!$E$27-'Mass Ion Calculations'!$E12)/2-'Mass Ion Calculations'!$D$5)))</f>
        <v/>
      </c>
      <c r="Z11" s="3" t="str">
        <f>IF(OR($B11="",Z$3=""),"",IF('Mass Ion Calculations'!$D$6="Yes",IF('Mass Ion Calculations'!$D$7="Yes",('Mass Ion Calculations'!$D$18+'AA Exact Masses'!$Q$3+'AA Exact Masses'!$Q$2-'Mass Ion Calculations'!$C$28-'Mass Ion Calculations'!$C12)/2-'Mass Ion Calculations'!$D$5,('Mass Ion Calculations'!$F$18+'AA Exact Masses'!$Q$3+'AA Exact Masses'!$Q$2-'Mass Ion Calculations'!$E$28-'Mass Ion Calculations'!$E12)/2-'Mass Ion Calculations'!$D$5),IF('Mass Ion Calculations'!$D$7="Yes", ('Mass Ion Calculations'!$D$15+'AA Exact Masses'!$Q$3+'AA Exact Masses'!$Q$2-'Mass Ion Calculations'!$C$28-'Mass Ion Calculations'!$C12)/2-'Mass Ion Calculations'!$D$5,('Mass Ion Calculations'!$F$15+'AA Exact Masses'!$Q$3+'AA Exact Masses'!$Q$2-'Mass Ion Calculations'!$E$28-'Mass Ion Calculations'!$E12)/2-'Mass Ion Calculations'!$D$5)))</f>
        <v/>
      </c>
    </row>
    <row r="12" spans="2:26" x14ac:dyDescent="0.25">
      <c r="B12" s="4" t="str">
        <f>IF('Mass Ion Calculations'!B13="","", 'Mass Ion Calculations'!B13)</f>
        <v>Orn(Boc)</v>
      </c>
      <c r="C12" s="3">
        <f>IF(OR($B12="",C$3=""),"",IF('Mass Ion Calculations'!$D$6="Yes",IF('Mass Ion Calculations'!$D$7="Yes",('Mass Ion Calculations'!$D$18+'AA Exact Masses'!$Q$3+'AA Exact Masses'!$Q$2-'Mass Ion Calculations'!$C$5-'Mass Ion Calculations'!$C13)/2-'Mass Ion Calculations'!$D$5,('Mass Ion Calculations'!$F$18+'AA Exact Masses'!$Q$3+'AA Exact Masses'!$Q$2-'Mass Ion Calculations'!$E$5-'Mass Ion Calculations'!$E13)/2-'Mass Ion Calculations'!$D$5),IF('Mass Ion Calculations'!$D$7="Yes", ('Mass Ion Calculations'!$D$15+'AA Exact Masses'!$Q$3+'AA Exact Masses'!$Q$2-'Mass Ion Calculations'!$C$5-'Mass Ion Calculations'!$C13)/2-'Mass Ion Calculations'!$D$5,('Mass Ion Calculations'!$F$15+'AA Exact Masses'!$Q$3+'AA Exact Masses'!$Q$2-'Mass Ion Calculations'!$E$5-'Mass Ion Calculations'!$E13)/2-'Mass Ion Calculations'!$D$5)))</f>
        <v>-414.11783500000001</v>
      </c>
      <c r="D12" s="3">
        <f>IF(OR($B12="",D$3=""),"",IF('Mass Ion Calculations'!$D$6="Yes",IF('Mass Ion Calculations'!$D$7="Yes",('Mass Ion Calculations'!$D$18+'AA Exact Masses'!$Q$3+'AA Exact Masses'!$Q$2-'Mass Ion Calculations'!$C$6-'Mass Ion Calculations'!$C13)/2-'Mass Ion Calculations'!$D$5,('Mass Ion Calculations'!$F$18+'AA Exact Masses'!$Q$3+'AA Exact Masses'!$Q$2-'Mass Ion Calculations'!$E$6-'Mass Ion Calculations'!$E13)/2-'Mass Ion Calculations'!$D$5),IF('Mass Ion Calculations'!$D$7="Yes", ('Mass Ion Calculations'!$D$15+'AA Exact Masses'!$Q$3+'AA Exact Masses'!$Q$2-'Mass Ion Calculations'!$C$6-'Mass Ion Calculations'!$C13)/2-'Mass Ion Calculations'!$D$5,('Mass Ion Calculations'!$F$15+'AA Exact Masses'!$Q$3+'AA Exact Masses'!$Q$2-'Mass Ion Calculations'!$E$6-'Mass Ion Calculations'!$E13)/2-'Mass Ion Calculations'!$D$5)))</f>
        <v>-392.59672999999998</v>
      </c>
      <c r="E12" s="3">
        <f>IF(OR($B12="",E$3=""),"",IF('Mass Ion Calculations'!$D$6="Yes",IF('Mass Ion Calculations'!$D$7="Yes",('Mass Ion Calculations'!$D$18+'AA Exact Masses'!$Q$3+'AA Exact Masses'!$Q$2-'Mass Ion Calculations'!$C$7-'Mass Ion Calculations'!$C13)/2-'Mass Ion Calculations'!$D$5,('Mass Ion Calculations'!$F$18+'AA Exact Masses'!$Q$3+'AA Exact Masses'!$Q$2-'Mass Ion Calculations'!$E$7-'Mass Ion Calculations'!$E13)/2-'Mass Ion Calculations'!$D$5),IF('Mass Ion Calculations'!$D$7="Yes", ('Mass Ion Calculations'!$D$15+'AA Exact Masses'!$Q$3+'AA Exact Masses'!$Q$2-'Mass Ion Calculations'!$C$7-'Mass Ion Calculations'!$C13)/2-'Mass Ion Calculations'!$D$5,('Mass Ion Calculations'!$F$15+'AA Exact Masses'!$Q$3+'AA Exact Masses'!$Q$2-'Mass Ion Calculations'!$E$7-'Mass Ion Calculations'!$E13)/2-'Mass Ion Calculations'!$D$5)))</f>
        <v>-413.62020499999994</v>
      </c>
      <c r="F12" s="3">
        <f>IF(OR($B12="",F$3=""),"",IF('Mass Ion Calculations'!$D$6="Yes",IF('Mass Ion Calculations'!$D$7="Yes",('Mass Ion Calculations'!$D$18+'AA Exact Masses'!$Q$3+'AA Exact Masses'!$Q$2-'Mass Ion Calculations'!$C$8-'Mass Ion Calculations'!$C13)/2-'Mass Ion Calculations'!$D$5,('Mass Ion Calculations'!$F$18+'AA Exact Masses'!$Q$3+'AA Exact Masses'!$Q$2-'Mass Ion Calculations'!$E$8-'Mass Ion Calculations'!$E13)/2-'Mass Ion Calculations'!$D$5),IF('Mass Ion Calculations'!$D$7="Yes", ('Mass Ion Calculations'!$D$15+'AA Exact Masses'!$Q$3+'AA Exact Masses'!$Q$2-'Mass Ion Calculations'!$C$8-'Mass Ion Calculations'!$C13)/2-'Mass Ion Calculations'!$D$5,('Mass Ion Calculations'!$F$15+'AA Exact Masses'!$Q$3+'AA Exact Masses'!$Q$2-'Mass Ion Calculations'!$E$8-'Mass Ion Calculations'!$E13)/2-'Mass Ion Calculations'!$D$5)))</f>
        <v>-413.62020499999994</v>
      </c>
      <c r="G12" s="3">
        <f>IF(OR($B12="",G$3=""),"",IF('Mass Ion Calculations'!$D$6="Yes",IF('Mass Ion Calculations'!$D$7="Yes",('Mass Ion Calculations'!$D$18+'AA Exact Masses'!$Q$3+'AA Exact Masses'!$Q$2-'Mass Ion Calculations'!$C$9-'Mass Ion Calculations'!$C13)/2-'Mass Ion Calculations'!$D$5,('Mass Ion Calculations'!$F$18+'AA Exact Masses'!$Q$3+'AA Exact Masses'!$Q$2-'Mass Ion Calculations'!$E$9-'Mass Ion Calculations'!$E13)/2-'Mass Ion Calculations'!$D$5),IF('Mass Ion Calculations'!$D$7="Yes", ('Mass Ion Calculations'!$D$15+'AA Exact Masses'!$Q$3+'AA Exact Masses'!$Q$2-'Mass Ion Calculations'!$C$9-'Mass Ion Calculations'!$C13)/2-'Mass Ion Calculations'!$D$5,('Mass Ion Calculations'!$F$15+'AA Exact Masses'!$Q$3+'AA Exact Masses'!$Q$2-'Mass Ion Calculations'!$E$9-'Mass Ion Calculations'!$E13)/2-'Mass Ion Calculations'!$D$5)))</f>
        <v>-392.59672999999998</v>
      </c>
      <c r="H12" s="3">
        <f>IF(OR($B12="",H$3=""),"",IF('Mass Ion Calculations'!$D$6="Yes",IF('Mass Ion Calculations'!$D$7="Yes",('Mass Ion Calculations'!$D$18+'AA Exact Masses'!$Q$3+'AA Exact Masses'!$Q$2-'Mass Ion Calculations'!$C$10-'Mass Ion Calculations'!$C13)/2-'Mass Ion Calculations'!$D$5,('Mass Ion Calculations'!$F$18+'AA Exact Masses'!$Q$3+'AA Exact Masses'!$Q$2-'Mass Ion Calculations'!$E$10-'Mass Ion Calculations'!$E13)/2-'Mass Ion Calculations'!$D$5),IF('Mass Ion Calculations'!$D$7="Yes", ('Mass Ion Calculations'!$D$15+'AA Exact Masses'!$Q$3+'AA Exact Masses'!$Q$2-'Mass Ion Calculations'!$C$10-'Mass Ion Calculations'!$C13)/2-'Mass Ion Calculations'!$D$5,('Mass Ion Calculations'!$F$15+'AA Exact Masses'!$Q$3+'AA Exact Masses'!$Q$2-'Mass Ion Calculations'!$E$10-'Mass Ion Calculations'!$E13)/2-'Mass Ion Calculations'!$D$5)))</f>
        <v>-413.62020499999994</v>
      </c>
      <c r="I12" s="3">
        <f>IF(OR($B12="",I$3=""),"",IF('Mass Ion Calculations'!$D$6="Yes",IF('Mass Ion Calculations'!$D$7="Yes",('Mass Ion Calculations'!$D$18+'AA Exact Masses'!$Q$3+'AA Exact Masses'!$Q$2-'Mass Ion Calculations'!$C$11-'Mass Ion Calculations'!$C13)/2-'Mass Ion Calculations'!$D$5,('Mass Ion Calculations'!$F$18+'AA Exact Masses'!$Q$3+'AA Exact Masses'!$Q$2-'Mass Ion Calculations'!$E$11-'Mass Ion Calculations'!$E13)/2-'Mass Ion Calculations'!$D$5),IF('Mass Ion Calculations'!$D$7="Yes", ('Mass Ion Calculations'!$D$15+'AA Exact Masses'!$Q$3+'AA Exact Masses'!$Q$2-'Mass Ion Calculations'!$C$11-'Mass Ion Calculations'!$C13)/2-'Mass Ion Calculations'!$D$5,('Mass Ion Calculations'!$F$15+'AA Exact Masses'!$Q$3+'AA Exact Masses'!$Q$2-'Mass Ion Calculations'!$E$11-'Mass Ion Calculations'!$E13)/2-'Mass Ion Calculations'!$D$5)))</f>
        <v>-414.11783500000001</v>
      </c>
      <c r="J12" s="3">
        <f>IF(OR($B12="",J$3=""),"",IF('Mass Ion Calculations'!$D$6="Yes",IF('Mass Ion Calculations'!$D$7="Yes",('Mass Ion Calculations'!$D$18+'AA Exact Masses'!$Q$3+'AA Exact Masses'!$Q$2-'Mass Ion Calculations'!$C$12-'Mass Ion Calculations'!$C13)/2-'Mass Ion Calculations'!$D$5,('Mass Ion Calculations'!$F$18+'AA Exact Masses'!$Q$3+'AA Exact Masses'!$Q$2-'Mass Ion Calculations'!$E$12-'Mass Ion Calculations'!$E13)/2-'Mass Ion Calculations'!$D$5),IF('Mass Ion Calculations'!$D$7="Yes", ('Mass Ion Calculations'!$D$15+'AA Exact Masses'!$Q$3+'AA Exact Masses'!$Q$2-'Mass Ion Calculations'!$C$12-'Mass Ion Calculations'!$C13)/2-'Mass Ion Calculations'!$D$5,('Mass Ion Calculations'!$F$15+'AA Exact Masses'!$Q$3+'AA Exact Masses'!$Q$2-'Mass Ion Calculations'!$E$12-'Mass Ion Calculations'!$E13)/2-'Mass Ion Calculations'!$D$5)))</f>
        <v>-406.61238000000003</v>
      </c>
      <c r="K12" s="3">
        <f>IF(OR($B12="",K$3=""),"",IF('Mass Ion Calculations'!$D$6="Yes",IF('Mass Ion Calculations'!$D$7="Yes",('Mass Ion Calculations'!$D$18+'AA Exact Masses'!$Q$3+'AA Exact Masses'!$Q$2-'Mass Ion Calculations'!$C$13-'Mass Ion Calculations'!$C13)/2-'Mass Ion Calculations'!$D$5,('Mass Ion Calculations'!$F$18+'AA Exact Masses'!$Q$3+'AA Exact Masses'!$Q$2-'Mass Ion Calculations'!$E$14-'Mass Ion Calculations'!$E13)/2-'Mass Ion Calculations'!$D$5),IF('Mass Ion Calculations'!$D$7="Yes", ('Mass Ion Calculations'!$D$15+'AA Exact Masses'!$Q$3+'AA Exact Masses'!$Q$2-'Mass Ion Calculations'!$C$13-'Mass Ion Calculations'!$C13)/2-'Mass Ion Calculations'!$D$5,('Mass Ion Calculations'!$F$15+'AA Exact Masses'!$Q$3+'AA Exact Masses'!$Q$2-'Mass Ion Calculations'!$E$14-'Mass Ion Calculations'!$E13)/2-'Mass Ion Calculations'!$D$5)))</f>
        <v>-421.59947</v>
      </c>
      <c r="L12" s="3">
        <f>IF(OR($B12="",L$3=""),"",IF('Mass Ion Calculations'!$D$6="Yes",IF('Mass Ion Calculations'!$D$7="Yes",('Mass Ion Calculations'!$D$18+'AA Exact Masses'!$Q$3+'AA Exact Masses'!$Q$2-'Mass Ion Calculations'!$C$14-'Mass Ion Calculations'!$C13)/2-'Mass Ion Calculations'!$D$5,('Mass Ion Calculations'!$F$18+'AA Exact Masses'!$Q$3+'AA Exact Masses'!$Q$2-'Mass Ion Calculations'!$E$15-'Mass Ion Calculations'!$E13)/2-'Mass Ion Calculations'!$D$5),IF('Mass Ion Calculations'!$D$7="Yes", ('Mass Ion Calculations'!$D$15+'AA Exact Masses'!$Q$3+'AA Exact Masses'!$Q$2-'Mass Ion Calculations'!$C$14-'Mass Ion Calculations'!$C13)/2-'Mass Ion Calculations'!$D$5,('Mass Ion Calculations'!$F$15+'AA Exact Masses'!$Q$3+'AA Exact Masses'!$Q$2-'Mass Ion Calculations'!$E$15-'Mass Ion Calculations'!$E13)/2-'Mass Ion Calculations'!$D$5)))</f>
        <v>-414.59164499999997</v>
      </c>
      <c r="M12" s="3">
        <f>IF(OR($B12="",M$3=""),"",IF('Mass Ion Calculations'!$D$6="Yes",IF('Mass Ion Calculations'!$D$7="Yes",('Mass Ion Calculations'!$D$18+'AA Exact Masses'!$Q$3+'AA Exact Masses'!$Q$2-'Mass Ion Calculations'!$C$15-'Mass Ion Calculations'!$C13)/2-'Mass Ion Calculations'!$D$5,('Mass Ion Calculations'!$F$18+'AA Exact Masses'!$Q$3+'AA Exact Masses'!$Q$2-'Mass Ion Calculations'!$E$16-'Mass Ion Calculations'!$E13)/2-'Mass Ion Calculations'!$D$5),IF('Mass Ion Calculations'!$D$7="Yes", ('Mass Ion Calculations'!$D$15+'AA Exact Masses'!$Q$3+'AA Exact Masses'!$Q$2-'Mass Ion Calculations'!$C$15-'Mass Ion Calculations'!$C13)/2-'Mass Ion Calculations'!$D$5,('Mass Ion Calculations'!$F$15+'AA Exact Masses'!$Q$3+'AA Exact Masses'!$Q$2-'Mass Ion Calculations'!$E$16-'Mass Ion Calculations'!$E13)/2-'Mass Ion Calculations'!$D$5)))</f>
        <v>-392.59672999999998</v>
      </c>
      <c r="N12" s="3">
        <f>IF(OR($B12="",N$3=""),"",IF('Mass Ion Calculations'!$D$6="Yes",IF('Mass Ion Calculations'!$D$7="Yes",('Mass Ion Calculations'!$D$18+'AA Exact Masses'!$Q$3+'AA Exact Masses'!$Q$2-'Mass Ion Calculations'!$C$16-'Mass Ion Calculations'!$C13)/2-'Mass Ion Calculations'!$D$5,('Mass Ion Calculations'!$F$18+'AA Exact Masses'!$Q$3+'AA Exact Masses'!$Q$2-'Mass Ion Calculations'!$E$17-'Mass Ion Calculations'!$E13)/2-'Mass Ion Calculations'!$D$5),IF('Mass Ion Calculations'!$D$7="Yes", ('Mass Ion Calculations'!$D$15+'AA Exact Masses'!$Q$3+'AA Exact Masses'!$Q$2-'Mass Ion Calculations'!$C$16-'Mass Ion Calculations'!$C13)/2-'Mass Ion Calculations'!$D$5,('Mass Ion Calculations'!$F$15+'AA Exact Masses'!$Q$3+'AA Exact Masses'!$Q$2-'Mass Ion Calculations'!$E$17-'Mass Ion Calculations'!$E13)/2-'Mass Ion Calculations'!$D$5)))</f>
        <v>-430.61238000000003</v>
      </c>
      <c r="O12" s="3">
        <f>IF(OR($B12="",O$3=""),"",IF('Mass Ion Calculations'!$D$6="Yes",IF('Mass Ion Calculations'!$D$7="Yes",('Mass Ion Calculations'!$D$18+'AA Exact Masses'!$Q$3+'AA Exact Masses'!$Q$2-'Mass Ion Calculations'!$C$17-'Mass Ion Calculations'!$C13)/2-'Mass Ion Calculations'!$D$5,('Mass Ion Calculations'!$F$18+'AA Exact Masses'!$Q$3+'AA Exact Masses'!$Q$2-'Mass Ion Calculations'!$E$18-'Mass Ion Calculations'!$E13)/2-'Mass Ion Calculations'!$D$5),IF('Mass Ion Calculations'!$D$7="Yes", ('Mass Ion Calculations'!$D$15+'AA Exact Masses'!$Q$3+'AA Exact Masses'!$Q$2-'Mass Ion Calculations'!$C$17-'Mass Ion Calculations'!$C13)/2-'Mass Ion Calculations'!$D$5,('Mass Ion Calculations'!$F$15+'AA Exact Masses'!$Q$3+'AA Exact Masses'!$Q$2-'Mass Ion Calculations'!$E$18-'Mass Ion Calculations'!$E13)/2-'Mass Ion Calculations'!$D$5)))</f>
        <v>-493.56070499999998</v>
      </c>
      <c r="P12" s="3">
        <f>IF(OR($B12="",P$3=""),"",IF('Mass Ion Calculations'!$D$6="Yes",IF('Mass Ion Calculations'!$D$7="Yes",('Mass Ion Calculations'!$D$18+'AA Exact Masses'!$Q$3+'AA Exact Masses'!$Q$2-'Mass Ion Calculations'!$C$19-'Mass Ion Calculations'!$C13)/2-'Mass Ion Calculations'!$D$5,('Mass Ion Calculations'!$F$18+'AA Exact Masses'!$Q$3+'AA Exact Masses'!$Q$2-'Mass Ion Calculations'!$E$19-'Mass Ion Calculations'!$E13)/2-'Mass Ion Calculations'!$D$5),IF('Mass Ion Calculations'!$D$7="Yes", ('Mass Ion Calculations'!$D$15+'AA Exact Masses'!$Q$3+'AA Exact Masses'!$Q$2-'Mass Ion Calculations'!$C$19-'Mass Ion Calculations'!$C13)/2-'Mass Ion Calculations'!$D$5,('Mass Ion Calculations'!$F$15+'AA Exact Masses'!$Q$3+'AA Exact Masses'!$Q$2-'Mass Ion Calculations'!$E$19-'Mass Ion Calculations'!$E13)/2-'Mass Ion Calculations'!$D$5)))</f>
        <v>-406.61238000000003</v>
      </c>
      <c r="Q12" s="3">
        <f>IF(OR($B12="",Q$3=""),"",IF('Mass Ion Calculations'!$D$6="Yes",IF('Mass Ion Calculations'!$D$7="Yes",('Mass Ion Calculations'!$D$18+'AA Exact Masses'!$Q$3+'AA Exact Masses'!$Q$2-'Mass Ion Calculations'!$C$20-'Mass Ion Calculations'!$C13)/2-'Mass Ion Calculations'!$D$5,('Mass Ion Calculations'!$F$18+'AA Exact Masses'!$Q$3+'AA Exact Masses'!$Q$2-'Mass Ion Calculations'!$E$20-'Mass Ion Calculations'!$E13)/2-'Mass Ion Calculations'!$D$5),IF('Mass Ion Calculations'!$D$7="Yes", ('Mass Ion Calculations'!$D$15+'AA Exact Masses'!$Q$3+'AA Exact Masses'!$Q$2-'Mass Ion Calculations'!$C$20-'Mass Ion Calculations'!$C13)/2-'Mass Ion Calculations'!$D$5,('Mass Ion Calculations'!$F$15+'AA Exact Masses'!$Q$3+'AA Exact Masses'!$Q$2-'Mass Ion Calculations'!$E$20-'Mass Ion Calculations'!$E13)/2-'Mass Ion Calculations'!$D$5)))</f>
        <v>-413.62020499999994</v>
      </c>
      <c r="R12" s="3" t="e">
        <f>IF(OR($B12="",R$3=""),"",IF('Mass Ion Calculations'!$D$6="Yes",IF('Mass Ion Calculations'!$D$7="Yes",('Mass Ion Calculations'!$D$18+'AA Exact Masses'!$Q$3+'AA Exact Masses'!$Q$2-'Mass Ion Calculations'!$C$21-'Mass Ion Calculations'!$C13)/2-'Mass Ion Calculations'!$D$5,('Mass Ion Calculations'!$F$18+'AA Exact Masses'!$Q$3+'AA Exact Masses'!$Q$2-'Mass Ion Calculations'!$E$21-'Mass Ion Calculations'!$E13)/2-'Mass Ion Calculations'!$D$5),IF('Mass Ion Calculations'!$D$7="Yes", ('Mass Ion Calculations'!$D$15+'AA Exact Masses'!$Q$3+'AA Exact Masses'!$Q$2-'Mass Ion Calculations'!$C$21-'Mass Ion Calculations'!$C13)/2-'Mass Ion Calculations'!$D$5,('Mass Ion Calculations'!$F$15+'AA Exact Masses'!$Q$3+'AA Exact Masses'!$Q$2-'Mass Ion Calculations'!$E$21-'Mass Ion Calculations'!$E13)/2-'Mass Ion Calculations'!$D$5)))</f>
        <v>#VALUE!</v>
      </c>
      <c r="S12" s="3" t="str">
        <f>IF(OR($B12="",S$3=""),"",IF('Mass Ion Calculations'!$D$6="Yes",IF('Mass Ion Calculations'!$D$7="Yes",('Mass Ion Calculations'!$D$18+'AA Exact Masses'!$Q$3+'AA Exact Masses'!$Q$2-'Mass Ion Calculations'!$C$22-'Mass Ion Calculations'!$C13)/2-'Mass Ion Calculations'!$D$5,('Mass Ion Calculations'!$F$18+'AA Exact Masses'!$Q$3+'AA Exact Masses'!$Q$2-'Mass Ion Calculations'!$E$22-'Mass Ion Calculations'!$E13)/2-'Mass Ion Calculations'!$D$5),IF('Mass Ion Calculations'!$D$7="Yes", ('Mass Ion Calculations'!$D$15+'AA Exact Masses'!$Q$3+'AA Exact Masses'!$Q$2-'Mass Ion Calculations'!$C$22-'Mass Ion Calculations'!$C13)/2-'Mass Ion Calculations'!$D$5,('Mass Ion Calculations'!$F$15+'AA Exact Masses'!$Q$3+'AA Exact Masses'!$Q$2-'Mass Ion Calculations'!$E$22-'Mass Ion Calculations'!$E13)/2-'Mass Ion Calculations'!$D$5)))</f>
        <v/>
      </c>
      <c r="T12" s="3" t="e">
        <f>IF(OR($B12="",T$3=""),"",IF('Mass Ion Calculations'!$D$6="Yes",IF('Mass Ion Calculations'!$D$7="Yes",('Mass Ion Calculations'!$D$18+'AA Exact Masses'!$Q$3+'AA Exact Masses'!$Q$2-'Mass Ion Calculations'!$C$22-'Mass Ion Calculations'!$C13)/2-'Mass Ion Calculations'!$D$5,('Mass Ion Calculations'!$F$18+'AA Exact Masses'!$Q$3+'AA Exact Masses'!$Q$2-'Mass Ion Calculations'!$E$22-'Mass Ion Calculations'!$E14)/2-'Mass Ion Calculations'!$D$5),IF('Mass Ion Calculations'!$D$7="Yes", ('Mass Ion Calculations'!$D$15+'AA Exact Masses'!$Q$3+'AA Exact Masses'!$Q$2-'Mass Ion Calculations'!$C$22-'Mass Ion Calculations'!$C13)/2-'Mass Ion Calculations'!$D$5,('Mass Ion Calculations'!$F$15+'AA Exact Masses'!$Q$3+'AA Exact Masses'!$Q$2-'Mass Ion Calculations'!$E$22-'Mass Ion Calculations'!$E14)/2-'Mass Ion Calculations'!$D$5)))</f>
        <v>#VALUE!</v>
      </c>
      <c r="U12" s="3" t="e">
        <f>IF(OR($B12="",U$3=""),"",IF('Mass Ion Calculations'!$D$6="Yes",IF('Mass Ion Calculations'!$D$7="Yes",('Mass Ion Calculations'!$D$18+'AA Exact Masses'!$Q$3+'AA Exact Masses'!$Q$2-'Mass Ion Calculations'!$C$23-'Mass Ion Calculations'!$C13)/2-'Mass Ion Calculations'!$D$5,('Mass Ion Calculations'!$F$18+'AA Exact Masses'!$Q$3+'AA Exact Masses'!$Q$2-'Mass Ion Calculations'!$E$23-'Mass Ion Calculations'!$E14)/2-'Mass Ion Calculations'!$D$5),IF('Mass Ion Calculations'!$D$7="Yes", ('Mass Ion Calculations'!$D$15+'AA Exact Masses'!$Q$3+'AA Exact Masses'!$Q$2-'Mass Ion Calculations'!$C$23-'Mass Ion Calculations'!$C13)/2-'Mass Ion Calculations'!$D$5,('Mass Ion Calculations'!$F$15+'AA Exact Masses'!$Q$3+'AA Exact Masses'!$Q$2-'Mass Ion Calculations'!$E$23-'Mass Ion Calculations'!$E14)/2-'Mass Ion Calculations'!$D$5)))</f>
        <v>#VALUE!</v>
      </c>
      <c r="V12" s="3" t="str">
        <f>IF(OR($B12="",V$3=""),"",IF('Mass Ion Calculations'!$D$6="Yes",IF('Mass Ion Calculations'!$D$7="Yes",('Mass Ion Calculations'!$D$18+'AA Exact Masses'!$Q$3+'AA Exact Masses'!$Q$2-'Mass Ion Calculations'!$C$24-'Mass Ion Calculations'!$C13)/2-'Mass Ion Calculations'!$D$5,('Mass Ion Calculations'!$F$18+'AA Exact Masses'!$Q$3+'AA Exact Masses'!$Q$2-'Mass Ion Calculations'!$E$24-'Mass Ion Calculations'!$E14)/2-'Mass Ion Calculations'!$D$5),IF('Mass Ion Calculations'!$D$7="Yes", ('Mass Ion Calculations'!$D$15+'AA Exact Masses'!$Q$3+'AA Exact Masses'!$Q$2-'Mass Ion Calculations'!$C$24-'Mass Ion Calculations'!$C13)/2-'Mass Ion Calculations'!$D$5,('Mass Ion Calculations'!$F$15+'AA Exact Masses'!$Q$3+'AA Exact Masses'!$Q$2-'Mass Ion Calculations'!$E$24-'Mass Ion Calculations'!$E14)/2-'Mass Ion Calculations'!$D$5)))</f>
        <v/>
      </c>
      <c r="W12" s="3" t="str">
        <f>IF(OR($B12="",W$3=""),"",IF('Mass Ion Calculations'!$D$6="Yes",IF('Mass Ion Calculations'!$D$7="Yes",('Mass Ion Calculations'!$D$18+'AA Exact Masses'!$Q$3+'AA Exact Masses'!$Q$2-'Mass Ion Calculations'!$C$25-'Mass Ion Calculations'!$C13)/2-'Mass Ion Calculations'!$D$5,('Mass Ion Calculations'!$F$18+'AA Exact Masses'!$Q$3+'AA Exact Masses'!$Q$2-'Mass Ion Calculations'!$E$25-'Mass Ion Calculations'!$E14)/2-'Mass Ion Calculations'!$D$5),IF('Mass Ion Calculations'!$D$7="Yes", ('Mass Ion Calculations'!$D$15+'AA Exact Masses'!$Q$3+'AA Exact Masses'!$Q$2-'Mass Ion Calculations'!$C$25-'Mass Ion Calculations'!$C13)/2-'Mass Ion Calculations'!$D$5,('Mass Ion Calculations'!$F$15+'AA Exact Masses'!$Q$3+'AA Exact Masses'!$Q$2-'Mass Ion Calculations'!$E$25-'Mass Ion Calculations'!$E14)/2-'Mass Ion Calculations'!$D$5)))</f>
        <v/>
      </c>
      <c r="X12" s="3" t="str">
        <f>IF(OR($B12="",X$3=""),"",IF('Mass Ion Calculations'!$D$6="Yes",IF('Mass Ion Calculations'!$D$7="Yes",('Mass Ion Calculations'!$D$18+'AA Exact Masses'!$Q$3+'AA Exact Masses'!$Q$2-'Mass Ion Calculations'!$C$26-'Mass Ion Calculations'!$C13)/2-'Mass Ion Calculations'!$D$5,('Mass Ion Calculations'!$F$18+'AA Exact Masses'!$Q$3+'AA Exact Masses'!$Q$2-'Mass Ion Calculations'!$E$26-'Mass Ion Calculations'!$E14)/2-'Mass Ion Calculations'!$D$5),IF('Mass Ion Calculations'!$D$7="Yes", ('Mass Ion Calculations'!$D$15+'AA Exact Masses'!$Q$3+'AA Exact Masses'!$Q$2-'Mass Ion Calculations'!$C$26-'Mass Ion Calculations'!$C13)/2-'Mass Ion Calculations'!$D$5,('Mass Ion Calculations'!$F$15+'AA Exact Masses'!$Q$3+'AA Exact Masses'!$Q$2-'Mass Ion Calculations'!$E$26-'Mass Ion Calculations'!$E14)/2-'Mass Ion Calculations'!$D$5)))</f>
        <v/>
      </c>
      <c r="Y12" s="3" t="str">
        <f>IF(OR($B12="",Y$3=""),"",IF('Mass Ion Calculations'!$D$6="Yes",IF('Mass Ion Calculations'!$D$7="Yes",('Mass Ion Calculations'!$D$18+'AA Exact Masses'!$Q$3+'AA Exact Masses'!$Q$2-'Mass Ion Calculations'!$C$27-'Mass Ion Calculations'!$C13)/2-'Mass Ion Calculations'!$D$5,('Mass Ion Calculations'!$F$18+'AA Exact Masses'!$Q$3+'AA Exact Masses'!$Q$2-'Mass Ion Calculations'!$E$27-'Mass Ion Calculations'!$E14)/2-'Mass Ion Calculations'!$D$5),IF('Mass Ion Calculations'!$D$7="Yes", ('Mass Ion Calculations'!$D$15+'AA Exact Masses'!$Q$3+'AA Exact Masses'!$Q$2-'Mass Ion Calculations'!$C$27-'Mass Ion Calculations'!$C13)/2-'Mass Ion Calculations'!$D$5,('Mass Ion Calculations'!$F$15+'AA Exact Masses'!$Q$3+'AA Exact Masses'!$Q$2-'Mass Ion Calculations'!$E$27-'Mass Ion Calculations'!$E14)/2-'Mass Ion Calculations'!$D$5)))</f>
        <v/>
      </c>
      <c r="Z12" s="3" t="str">
        <f>IF(OR($B12="",Z$3=""),"",IF('Mass Ion Calculations'!$D$6="Yes",IF('Mass Ion Calculations'!$D$7="Yes",('Mass Ion Calculations'!$D$18+'AA Exact Masses'!$Q$3+'AA Exact Masses'!$Q$2-'Mass Ion Calculations'!$C$28-'Mass Ion Calculations'!$C13)/2-'Mass Ion Calculations'!$D$5,('Mass Ion Calculations'!$F$18+'AA Exact Masses'!$Q$3+'AA Exact Masses'!$Q$2-'Mass Ion Calculations'!$E$28-'Mass Ion Calculations'!$E14)/2-'Mass Ion Calculations'!$D$5),IF('Mass Ion Calculations'!$D$7="Yes", ('Mass Ion Calculations'!$D$15+'AA Exact Masses'!$Q$3+'AA Exact Masses'!$Q$2-'Mass Ion Calculations'!$C$28-'Mass Ion Calculations'!$C13)/2-'Mass Ion Calculations'!$D$5,('Mass Ion Calculations'!$F$15+'AA Exact Masses'!$Q$3+'AA Exact Masses'!$Q$2-'Mass Ion Calculations'!$E$28-'Mass Ion Calculations'!$E14)/2-'Mass Ion Calculations'!$D$5)))</f>
        <v/>
      </c>
    </row>
    <row r="13" spans="2:26" x14ac:dyDescent="0.25">
      <c r="B13" s="4" t="str">
        <f>IF('Mass Ion Calculations'!B14="","", 'Mass Ion Calculations'!B14)</f>
        <v>Glu(OtBu)</v>
      </c>
      <c r="C13" s="3">
        <f>IF(OR($B13="",C$3=""),"",IF('Mass Ion Calculations'!$D$6="Yes",IF('Mass Ion Calculations'!$D$7="Yes",('Mass Ion Calculations'!$D$18+'AA Exact Masses'!$Q$3+'AA Exact Masses'!$Q$2-'Mass Ion Calculations'!$C$5-'Mass Ion Calculations'!$C14)/2-'Mass Ion Calculations'!$D$5,('Mass Ion Calculations'!$F$18+'AA Exact Masses'!$Q$3+'AA Exact Masses'!$Q$2-'Mass Ion Calculations'!$E$5-'Mass Ion Calculations'!$E14)/2-'Mass Ion Calculations'!$D$5),IF('Mass Ion Calculations'!$D$7="Yes", ('Mass Ion Calculations'!$D$15+'AA Exact Masses'!$Q$3+'AA Exact Masses'!$Q$2-'Mass Ion Calculations'!$C$5-'Mass Ion Calculations'!$C14)/2-'Mass Ion Calculations'!$D$5,('Mass Ion Calculations'!$F$15+'AA Exact Masses'!$Q$3+'AA Exact Masses'!$Q$2-'Mass Ion Calculations'!$E$5-'Mass Ion Calculations'!$E14)/2-'Mass Ion Calculations'!$D$5)))</f>
        <v>-421.59947</v>
      </c>
      <c r="D13" s="3">
        <f>IF(OR($B13="",D$3=""),"",IF('Mass Ion Calculations'!$D$6="Yes",IF('Mass Ion Calculations'!$D$7="Yes",('Mass Ion Calculations'!$D$18+'AA Exact Masses'!$Q$3+'AA Exact Masses'!$Q$2-'Mass Ion Calculations'!$C$6-'Mass Ion Calculations'!$C14)/2-'Mass Ion Calculations'!$D$5,('Mass Ion Calculations'!$F$18+'AA Exact Masses'!$Q$3+'AA Exact Masses'!$Q$2-'Mass Ion Calculations'!$E$6-'Mass Ion Calculations'!$E14)/2-'Mass Ion Calculations'!$D$5),IF('Mass Ion Calculations'!$D$7="Yes", ('Mass Ion Calculations'!$D$15+'AA Exact Masses'!$Q$3+'AA Exact Masses'!$Q$2-'Mass Ion Calculations'!$C$6-'Mass Ion Calculations'!$C14)/2-'Mass Ion Calculations'!$D$5,('Mass Ion Calculations'!$F$15+'AA Exact Masses'!$Q$3+'AA Exact Masses'!$Q$2-'Mass Ion Calculations'!$E$6-'Mass Ion Calculations'!$E14)/2-'Mass Ion Calculations'!$D$5)))</f>
        <v>-400.07836499999996</v>
      </c>
      <c r="E13" s="3">
        <f>IF(OR($B13="",E$3=""),"",IF('Mass Ion Calculations'!$D$6="Yes",IF('Mass Ion Calculations'!$D$7="Yes",('Mass Ion Calculations'!$D$18+'AA Exact Masses'!$Q$3+'AA Exact Masses'!$Q$2-'Mass Ion Calculations'!$C$7-'Mass Ion Calculations'!$C14)/2-'Mass Ion Calculations'!$D$5,('Mass Ion Calculations'!$F$18+'AA Exact Masses'!$Q$3+'AA Exact Masses'!$Q$2-'Mass Ion Calculations'!$E$7-'Mass Ion Calculations'!$E14)/2-'Mass Ion Calculations'!$D$5),IF('Mass Ion Calculations'!$D$7="Yes", ('Mass Ion Calculations'!$D$15+'AA Exact Masses'!$Q$3+'AA Exact Masses'!$Q$2-'Mass Ion Calculations'!$C$7-'Mass Ion Calculations'!$C14)/2-'Mass Ion Calculations'!$D$5,('Mass Ion Calculations'!$F$15+'AA Exact Masses'!$Q$3+'AA Exact Masses'!$Q$2-'Mass Ion Calculations'!$E$7-'Mass Ion Calculations'!$E14)/2-'Mass Ion Calculations'!$D$5)))</f>
        <v>-421.10183999999992</v>
      </c>
      <c r="F13" s="3">
        <f>IF(OR($B13="",F$3=""),"",IF('Mass Ion Calculations'!$D$6="Yes",IF('Mass Ion Calculations'!$D$7="Yes",('Mass Ion Calculations'!$D$18+'AA Exact Masses'!$Q$3+'AA Exact Masses'!$Q$2-'Mass Ion Calculations'!$C$8-'Mass Ion Calculations'!$C14)/2-'Mass Ion Calculations'!$D$5,('Mass Ion Calculations'!$F$18+'AA Exact Masses'!$Q$3+'AA Exact Masses'!$Q$2-'Mass Ion Calculations'!$E$8-'Mass Ion Calculations'!$E14)/2-'Mass Ion Calculations'!$D$5),IF('Mass Ion Calculations'!$D$7="Yes", ('Mass Ion Calculations'!$D$15+'AA Exact Masses'!$Q$3+'AA Exact Masses'!$Q$2-'Mass Ion Calculations'!$C$8-'Mass Ion Calculations'!$C14)/2-'Mass Ion Calculations'!$D$5,('Mass Ion Calculations'!$F$15+'AA Exact Masses'!$Q$3+'AA Exact Masses'!$Q$2-'Mass Ion Calculations'!$E$8-'Mass Ion Calculations'!$E14)/2-'Mass Ion Calculations'!$D$5)))</f>
        <v>-421.10183999999992</v>
      </c>
      <c r="G13" s="3">
        <f>IF(OR($B13="",G$3=""),"",IF('Mass Ion Calculations'!$D$6="Yes",IF('Mass Ion Calculations'!$D$7="Yes",('Mass Ion Calculations'!$D$18+'AA Exact Masses'!$Q$3+'AA Exact Masses'!$Q$2-'Mass Ion Calculations'!$C$9-'Mass Ion Calculations'!$C14)/2-'Mass Ion Calculations'!$D$5,('Mass Ion Calculations'!$F$18+'AA Exact Masses'!$Q$3+'AA Exact Masses'!$Q$2-'Mass Ion Calculations'!$E$9-'Mass Ion Calculations'!$E14)/2-'Mass Ion Calculations'!$D$5),IF('Mass Ion Calculations'!$D$7="Yes", ('Mass Ion Calculations'!$D$15+'AA Exact Masses'!$Q$3+'AA Exact Masses'!$Q$2-'Mass Ion Calculations'!$C$9-'Mass Ion Calculations'!$C14)/2-'Mass Ion Calculations'!$D$5,('Mass Ion Calculations'!$F$15+'AA Exact Masses'!$Q$3+'AA Exact Masses'!$Q$2-'Mass Ion Calculations'!$E$9-'Mass Ion Calculations'!$E14)/2-'Mass Ion Calculations'!$D$5)))</f>
        <v>-400.07836499999996</v>
      </c>
      <c r="H13" s="3">
        <f>IF(OR($B13="",H$3=""),"",IF('Mass Ion Calculations'!$D$6="Yes",IF('Mass Ion Calculations'!$D$7="Yes",('Mass Ion Calculations'!$D$18+'AA Exact Masses'!$Q$3+'AA Exact Masses'!$Q$2-'Mass Ion Calculations'!$C$10-'Mass Ion Calculations'!$C14)/2-'Mass Ion Calculations'!$D$5,('Mass Ion Calculations'!$F$18+'AA Exact Masses'!$Q$3+'AA Exact Masses'!$Q$2-'Mass Ion Calculations'!$E$10-'Mass Ion Calculations'!$E14)/2-'Mass Ion Calculations'!$D$5),IF('Mass Ion Calculations'!$D$7="Yes", ('Mass Ion Calculations'!$D$15+'AA Exact Masses'!$Q$3+'AA Exact Masses'!$Q$2-'Mass Ion Calculations'!$C$10-'Mass Ion Calculations'!$C14)/2-'Mass Ion Calculations'!$D$5,('Mass Ion Calculations'!$F$15+'AA Exact Masses'!$Q$3+'AA Exact Masses'!$Q$2-'Mass Ion Calculations'!$E$10-'Mass Ion Calculations'!$E14)/2-'Mass Ion Calculations'!$D$5)))</f>
        <v>-421.10183999999992</v>
      </c>
      <c r="I13" s="3">
        <f>IF(OR($B13="",I$3=""),"",IF('Mass Ion Calculations'!$D$6="Yes",IF('Mass Ion Calculations'!$D$7="Yes",('Mass Ion Calculations'!$D$18+'AA Exact Masses'!$Q$3+'AA Exact Masses'!$Q$2-'Mass Ion Calculations'!$C$11-'Mass Ion Calculations'!$C14)/2-'Mass Ion Calculations'!$D$5,('Mass Ion Calculations'!$F$18+'AA Exact Masses'!$Q$3+'AA Exact Masses'!$Q$2-'Mass Ion Calculations'!$E$11-'Mass Ion Calculations'!$E14)/2-'Mass Ion Calculations'!$D$5),IF('Mass Ion Calculations'!$D$7="Yes", ('Mass Ion Calculations'!$D$15+'AA Exact Masses'!$Q$3+'AA Exact Masses'!$Q$2-'Mass Ion Calculations'!$C$11-'Mass Ion Calculations'!$C14)/2-'Mass Ion Calculations'!$D$5,('Mass Ion Calculations'!$F$15+'AA Exact Masses'!$Q$3+'AA Exact Masses'!$Q$2-'Mass Ion Calculations'!$E$11-'Mass Ion Calculations'!$E14)/2-'Mass Ion Calculations'!$D$5)))</f>
        <v>-421.59947</v>
      </c>
      <c r="J13" s="3">
        <f>IF(OR($B13="",J$3=""),"",IF('Mass Ion Calculations'!$D$6="Yes",IF('Mass Ion Calculations'!$D$7="Yes",('Mass Ion Calculations'!$D$18+'AA Exact Masses'!$Q$3+'AA Exact Masses'!$Q$2-'Mass Ion Calculations'!$C$12-'Mass Ion Calculations'!$C14)/2-'Mass Ion Calculations'!$D$5,('Mass Ion Calculations'!$F$18+'AA Exact Masses'!$Q$3+'AA Exact Masses'!$Q$2-'Mass Ion Calculations'!$E$12-'Mass Ion Calculations'!$E14)/2-'Mass Ion Calculations'!$D$5),IF('Mass Ion Calculations'!$D$7="Yes", ('Mass Ion Calculations'!$D$15+'AA Exact Masses'!$Q$3+'AA Exact Masses'!$Q$2-'Mass Ion Calculations'!$C$12-'Mass Ion Calculations'!$C14)/2-'Mass Ion Calculations'!$D$5,('Mass Ion Calculations'!$F$15+'AA Exact Masses'!$Q$3+'AA Exact Masses'!$Q$2-'Mass Ion Calculations'!$E$12-'Mass Ion Calculations'!$E14)/2-'Mass Ion Calculations'!$D$5)))</f>
        <v>-414.09401500000001</v>
      </c>
      <c r="K13" s="3">
        <f>IF(OR($B13="",K$3=""),"",IF('Mass Ion Calculations'!$D$6="Yes",IF('Mass Ion Calculations'!$D$7="Yes",('Mass Ion Calculations'!$D$18+'AA Exact Masses'!$Q$3+'AA Exact Masses'!$Q$2-'Mass Ion Calculations'!$C$13-'Mass Ion Calculations'!$C14)/2-'Mass Ion Calculations'!$D$5,('Mass Ion Calculations'!$F$18+'AA Exact Masses'!$Q$3+'AA Exact Masses'!$Q$2-'Mass Ion Calculations'!$E$14-'Mass Ion Calculations'!$E14)/2-'Mass Ion Calculations'!$D$5),IF('Mass Ion Calculations'!$D$7="Yes", ('Mass Ion Calculations'!$D$15+'AA Exact Masses'!$Q$3+'AA Exact Masses'!$Q$2-'Mass Ion Calculations'!$C$13-'Mass Ion Calculations'!$C14)/2-'Mass Ion Calculations'!$D$5,('Mass Ion Calculations'!$F$15+'AA Exact Masses'!$Q$3+'AA Exact Masses'!$Q$2-'Mass Ion Calculations'!$E$14-'Mass Ion Calculations'!$E14)/2-'Mass Ion Calculations'!$D$5)))</f>
        <v>-429.08110499999998</v>
      </c>
      <c r="L13" s="3">
        <f>IF(OR($B13="",L$3=""),"",IF('Mass Ion Calculations'!$D$6="Yes",IF('Mass Ion Calculations'!$D$7="Yes",('Mass Ion Calculations'!$D$18+'AA Exact Masses'!$Q$3+'AA Exact Masses'!$Q$2-'Mass Ion Calculations'!$C$14-'Mass Ion Calculations'!$C14)/2-'Mass Ion Calculations'!$D$5,('Mass Ion Calculations'!$F$18+'AA Exact Masses'!$Q$3+'AA Exact Masses'!$Q$2-'Mass Ion Calculations'!$E$15-'Mass Ion Calculations'!$E14)/2-'Mass Ion Calculations'!$D$5),IF('Mass Ion Calculations'!$D$7="Yes", ('Mass Ion Calculations'!$D$15+'AA Exact Masses'!$Q$3+'AA Exact Masses'!$Q$2-'Mass Ion Calculations'!$C$14-'Mass Ion Calculations'!$C14)/2-'Mass Ion Calculations'!$D$5,('Mass Ion Calculations'!$F$15+'AA Exact Masses'!$Q$3+'AA Exact Masses'!$Q$2-'Mass Ion Calculations'!$E$15-'Mass Ion Calculations'!$E14)/2-'Mass Ion Calculations'!$D$5)))</f>
        <v>-422.07327999999995</v>
      </c>
      <c r="M13" s="3">
        <f>IF(OR($B13="",M$3=""),"",IF('Mass Ion Calculations'!$D$6="Yes",IF('Mass Ion Calculations'!$D$7="Yes",('Mass Ion Calculations'!$D$18+'AA Exact Masses'!$Q$3+'AA Exact Masses'!$Q$2-'Mass Ion Calculations'!$C$15-'Mass Ion Calculations'!$C14)/2-'Mass Ion Calculations'!$D$5,('Mass Ion Calculations'!$F$18+'AA Exact Masses'!$Q$3+'AA Exact Masses'!$Q$2-'Mass Ion Calculations'!$E$16-'Mass Ion Calculations'!$E14)/2-'Mass Ion Calculations'!$D$5),IF('Mass Ion Calculations'!$D$7="Yes", ('Mass Ion Calculations'!$D$15+'AA Exact Masses'!$Q$3+'AA Exact Masses'!$Q$2-'Mass Ion Calculations'!$C$15-'Mass Ion Calculations'!$C14)/2-'Mass Ion Calculations'!$D$5,('Mass Ion Calculations'!$F$15+'AA Exact Masses'!$Q$3+'AA Exact Masses'!$Q$2-'Mass Ion Calculations'!$E$16-'Mass Ion Calculations'!$E14)/2-'Mass Ion Calculations'!$D$5)))</f>
        <v>-400.07836499999996</v>
      </c>
      <c r="N13" s="3">
        <f>IF(OR($B13="",N$3=""),"",IF('Mass Ion Calculations'!$D$6="Yes",IF('Mass Ion Calculations'!$D$7="Yes",('Mass Ion Calculations'!$D$18+'AA Exact Masses'!$Q$3+'AA Exact Masses'!$Q$2-'Mass Ion Calculations'!$C$16-'Mass Ion Calculations'!$C14)/2-'Mass Ion Calculations'!$D$5,('Mass Ion Calculations'!$F$18+'AA Exact Masses'!$Q$3+'AA Exact Masses'!$Q$2-'Mass Ion Calculations'!$E$17-'Mass Ion Calculations'!$E14)/2-'Mass Ion Calculations'!$D$5),IF('Mass Ion Calculations'!$D$7="Yes", ('Mass Ion Calculations'!$D$15+'AA Exact Masses'!$Q$3+'AA Exact Masses'!$Q$2-'Mass Ion Calculations'!$C$16-'Mass Ion Calculations'!$C14)/2-'Mass Ion Calculations'!$D$5,('Mass Ion Calculations'!$F$15+'AA Exact Masses'!$Q$3+'AA Exact Masses'!$Q$2-'Mass Ion Calculations'!$E$17-'Mass Ion Calculations'!$E14)/2-'Mass Ion Calculations'!$D$5)))</f>
        <v>-438.09401500000001</v>
      </c>
      <c r="O13" s="3">
        <f>IF(OR($B13="",O$3=""),"",IF('Mass Ion Calculations'!$D$6="Yes",IF('Mass Ion Calculations'!$D$7="Yes",('Mass Ion Calculations'!$D$18+'AA Exact Masses'!$Q$3+'AA Exact Masses'!$Q$2-'Mass Ion Calculations'!$C$17-'Mass Ion Calculations'!$C14)/2-'Mass Ion Calculations'!$D$5,('Mass Ion Calculations'!$F$18+'AA Exact Masses'!$Q$3+'AA Exact Masses'!$Q$2-'Mass Ion Calculations'!$E$18-'Mass Ion Calculations'!$E14)/2-'Mass Ion Calculations'!$D$5),IF('Mass Ion Calculations'!$D$7="Yes", ('Mass Ion Calculations'!$D$15+'AA Exact Masses'!$Q$3+'AA Exact Masses'!$Q$2-'Mass Ion Calculations'!$C$17-'Mass Ion Calculations'!$C14)/2-'Mass Ion Calculations'!$D$5,('Mass Ion Calculations'!$F$15+'AA Exact Masses'!$Q$3+'AA Exact Masses'!$Q$2-'Mass Ion Calculations'!$E$18-'Mass Ion Calculations'!$E14)/2-'Mass Ion Calculations'!$D$5)))</f>
        <v>-501.04233999999997</v>
      </c>
      <c r="P13" s="3">
        <f>IF(OR($B13="",P$3=""),"",IF('Mass Ion Calculations'!$D$6="Yes",IF('Mass Ion Calculations'!$D$7="Yes",('Mass Ion Calculations'!$D$18+'AA Exact Masses'!$Q$3+'AA Exact Masses'!$Q$2-'Mass Ion Calculations'!$C$19-'Mass Ion Calculations'!$C14)/2-'Mass Ion Calculations'!$D$5,('Mass Ion Calculations'!$F$18+'AA Exact Masses'!$Q$3+'AA Exact Masses'!$Q$2-'Mass Ion Calculations'!$E$19-'Mass Ion Calculations'!$E14)/2-'Mass Ion Calculations'!$D$5),IF('Mass Ion Calculations'!$D$7="Yes", ('Mass Ion Calculations'!$D$15+'AA Exact Masses'!$Q$3+'AA Exact Masses'!$Q$2-'Mass Ion Calculations'!$C$19-'Mass Ion Calculations'!$C14)/2-'Mass Ion Calculations'!$D$5,('Mass Ion Calculations'!$F$15+'AA Exact Masses'!$Q$3+'AA Exact Masses'!$Q$2-'Mass Ion Calculations'!$E$19-'Mass Ion Calculations'!$E14)/2-'Mass Ion Calculations'!$D$5)))</f>
        <v>-414.09401500000001</v>
      </c>
      <c r="Q13" s="3">
        <f>IF(OR($B13="",Q$3=""),"",IF('Mass Ion Calculations'!$D$6="Yes",IF('Mass Ion Calculations'!$D$7="Yes",('Mass Ion Calculations'!$D$18+'AA Exact Masses'!$Q$3+'AA Exact Masses'!$Q$2-'Mass Ion Calculations'!$C$20-'Mass Ion Calculations'!$C14)/2-'Mass Ion Calculations'!$D$5,('Mass Ion Calculations'!$F$18+'AA Exact Masses'!$Q$3+'AA Exact Masses'!$Q$2-'Mass Ion Calculations'!$E$20-'Mass Ion Calculations'!$E14)/2-'Mass Ion Calculations'!$D$5),IF('Mass Ion Calculations'!$D$7="Yes", ('Mass Ion Calculations'!$D$15+'AA Exact Masses'!$Q$3+'AA Exact Masses'!$Q$2-'Mass Ion Calculations'!$C$20-'Mass Ion Calculations'!$C14)/2-'Mass Ion Calculations'!$D$5,('Mass Ion Calculations'!$F$15+'AA Exact Masses'!$Q$3+'AA Exact Masses'!$Q$2-'Mass Ion Calculations'!$E$20-'Mass Ion Calculations'!$E14)/2-'Mass Ion Calculations'!$D$5)))</f>
        <v>-421.10183999999992</v>
      </c>
      <c r="R13" s="3" t="e">
        <f>IF(OR($B13="",R$3=""),"",IF('Mass Ion Calculations'!$D$6="Yes",IF('Mass Ion Calculations'!$D$7="Yes",('Mass Ion Calculations'!$D$18+'AA Exact Masses'!$Q$3+'AA Exact Masses'!$Q$2-'Mass Ion Calculations'!$C$21-'Mass Ion Calculations'!$C14)/2-'Mass Ion Calculations'!$D$5,('Mass Ion Calculations'!$F$18+'AA Exact Masses'!$Q$3+'AA Exact Masses'!$Q$2-'Mass Ion Calculations'!$E$21-'Mass Ion Calculations'!$E14)/2-'Mass Ion Calculations'!$D$5),IF('Mass Ion Calculations'!$D$7="Yes", ('Mass Ion Calculations'!$D$15+'AA Exact Masses'!$Q$3+'AA Exact Masses'!$Q$2-'Mass Ion Calculations'!$C$21-'Mass Ion Calculations'!$C14)/2-'Mass Ion Calculations'!$D$5,('Mass Ion Calculations'!$F$15+'AA Exact Masses'!$Q$3+'AA Exact Masses'!$Q$2-'Mass Ion Calculations'!$E$21-'Mass Ion Calculations'!$E14)/2-'Mass Ion Calculations'!$D$5)))</f>
        <v>#VALUE!</v>
      </c>
      <c r="S13" s="3" t="str">
        <f>IF(OR($B13="",S$3=""),"",IF('Mass Ion Calculations'!$D$6="Yes",IF('Mass Ion Calculations'!$D$7="Yes",('Mass Ion Calculations'!$D$18+'AA Exact Masses'!$Q$3+'AA Exact Masses'!$Q$2-'Mass Ion Calculations'!$C$22-'Mass Ion Calculations'!$C14)/2-'Mass Ion Calculations'!$D$5,('Mass Ion Calculations'!$F$18+'AA Exact Masses'!$Q$3+'AA Exact Masses'!$Q$2-'Mass Ion Calculations'!$E$22-'Mass Ion Calculations'!$E14)/2-'Mass Ion Calculations'!$D$5),IF('Mass Ion Calculations'!$D$7="Yes", ('Mass Ion Calculations'!$D$15+'AA Exact Masses'!$Q$3+'AA Exact Masses'!$Q$2-'Mass Ion Calculations'!$C$22-'Mass Ion Calculations'!$C14)/2-'Mass Ion Calculations'!$D$5,('Mass Ion Calculations'!$F$15+'AA Exact Masses'!$Q$3+'AA Exact Masses'!$Q$2-'Mass Ion Calculations'!$E$22-'Mass Ion Calculations'!$E14)/2-'Mass Ion Calculations'!$D$5)))</f>
        <v/>
      </c>
      <c r="T13" s="3" t="e">
        <f>IF(OR($B13="",T$3=""),"",IF('Mass Ion Calculations'!$D$6="Yes",IF('Mass Ion Calculations'!$D$7="Yes",('Mass Ion Calculations'!$D$18+'AA Exact Masses'!$Q$3+'AA Exact Masses'!$Q$2-'Mass Ion Calculations'!$C$22-'Mass Ion Calculations'!$C14)/2-'Mass Ion Calculations'!$D$5,('Mass Ion Calculations'!$F$18+'AA Exact Masses'!$Q$3+'AA Exact Masses'!$Q$2-'Mass Ion Calculations'!$E$22-'Mass Ion Calculations'!$E15)/2-'Mass Ion Calculations'!$D$5),IF('Mass Ion Calculations'!$D$7="Yes", ('Mass Ion Calculations'!$D$15+'AA Exact Masses'!$Q$3+'AA Exact Masses'!$Q$2-'Mass Ion Calculations'!$C$22-'Mass Ion Calculations'!$C14)/2-'Mass Ion Calculations'!$D$5,('Mass Ion Calculations'!$F$15+'AA Exact Masses'!$Q$3+'AA Exact Masses'!$Q$2-'Mass Ion Calculations'!$E$22-'Mass Ion Calculations'!$E15)/2-'Mass Ion Calculations'!$D$5)))</f>
        <v>#VALUE!</v>
      </c>
      <c r="U13" s="3" t="e">
        <f>IF(OR($B13="",U$3=""),"",IF('Mass Ion Calculations'!$D$6="Yes",IF('Mass Ion Calculations'!$D$7="Yes",('Mass Ion Calculations'!$D$18+'AA Exact Masses'!$Q$3+'AA Exact Masses'!$Q$2-'Mass Ion Calculations'!$C$23-'Mass Ion Calculations'!$C14)/2-'Mass Ion Calculations'!$D$5,('Mass Ion Calculations'!$F$18+'AA Exact Masses'!$Q$3+'AA Exact Masses'!$Q$2-'Mass Ion Calculations'!$E$23-'Mass Ion Calculations'!$E15)/2-'Mass Ion Calculations'!$D$5),IF('Mass Ion Calculations'!$D$7="Yes", ('Mass Ion Calculations'!$D$15+'AA Exact Masses'!$Q$3+'AA Exact Masses'!$Q$2-'Mass Ion Calculations'!$C$23-'Mass Ion Calculations'!$C14)/2-'Mass Ion Calculations'!$D$5,('Mass Ion Calculations'!$F$15+'AA Exact Masses'!$Q$3+'AA Exact Masses'!$Q$2-'Mass Ion Calculations'!$E$23-'Mass Ion Calculations'!$E15)/2-'Mass Ion Calculations'!$D$5)))</f>
        <v>#VALUE!</v>
      </c>
      <c r="V13" s="3" t="str">
        <f>IF(OR($B13="",V$3=""),"",IF('Mass Ion Calculations'!$D$6="Yes",IF('Mass Ion Calculations'!$D$7="Yes",('Mass Ion Calculations'!$D$18+'AA Exact Masses'!$Q$3+'AA Exact Masses'!$Q$2-'Mass Ion Calculations'!$C$24-'Mass Ion Calculations'!$C14)/2-'Mass Ion Calculations'!$D$5,('Mass Ion Calculations'!$F$18+'AA Exact Masses'!$Q$3+'AA Exact Masses'!$Q$2-'Mass Ion Calculations'!$E$24-'Mass Ion Calculations'!$E15)/2-'Mass Ion Calculations'!$D$5),IF('Mass Ion Calculations'!$D$7="Yes", ('Mass Ion Calculations'!$D$15+'AA Exact Masses'!$Q$3+'AA Exact Masses'!$Q$2-'Mass Ion Calculations'!$C$24-'Mass Ion Calculations'!$C14)/2-'Mass Ion Calculations'!$D$5,('Mass Ion Calculations'!$F$15+'AA Exact Masses'!$Q$3+'AA Exact Masses'!$Q$2-'Mass Ion Calculations'!$E$24-'Mass Ion Calculations'!$E15)/2-'Mass Ion Calculations'!$D$5)))</f>
        <v/>
      </c>
      <c r="W13" s="3" t="str">
        <f>IF(OR($B13="",W$3=""),"",IF('Mass Ion Calculations'!$D$6="Yes",IF('Mass Ion Calculations'!$D$7="Yes",('Mass Ion Calculations'!$D$18+'AA Exact Masses'!$Q$3+'AA Exact Masses'!$Q$2-'Mass Ion Calculations'!$C$25-'Mass Ion Calculations'!$C14)/2-'Mass Ion Calculations'!$D$5,('Mass Ion Calculations'!$F$18+'AA Exact Masses'!$Q$3+'AA Exact Masses'!$Q$2-'Mass Ion Calculations'!$E$25-'Mass Ion Calculations'!$E15)/2-'Mass Ion Calculations'!$D$5),IF('Mass Ion Calculations'!$D$7="Yes", ('Mass Ion Calculations'!$D$15+'AA Exact Masses'!$Q$3+'AA Exact Masses'!$Q$2-'Mass Ion Calculations'!$C$25-'Mass Ion Calculations'!$C14)/2-'Mass Ion Calculations'!$D$5,('Mass Ion Calculations'!$F$15+'AA Exact Masses'!$Q$3+'AA Exact Masses'!$Q$2-'Mass Ion Calculations'!$E$25-'Mass Ion Calculations'!$E15)/2-'Mass Ion Calculations'!$D$5)))</f>
        <v/>
      </c>
      <c r="X13" s="3" t="str">
        <f>IF(OR($B13="",X$3=""),"",IF('Mass Ion Calculations'!$D$6="Yes",IF('Mass Ion Calculations'!$D$7="Yes",('Mass Ion Calculations'!$D$18+'AA Exact Masses'!$Q$3+'AA Exact Masses'!$Q$2-'Mass Ion Calculations'!$C$26-'Mass Ion Calculations'!$C14)/2-'Mass Ion Calculations'!$D$5,('Mass Ion Calculations'!$F$18+'AA Exact Masses'!$Q$3+'AA Exact Masses'!$Q$2-'Mass Ion Calculations'!$E$26-'Mass Ion Calculations'!$E15)/2-'Mass Ion Calculations'!$D$5),IF('Mass Ion Calculations'!$D$7="Yes", ('Mass Ion Calculations'!$D$15+'AA Exact Masses'!$Q$3+'AA Exact Masses'!$Q$2-'Mass Ion Calculations'!$C$26-'Mass Ion Calculations'!$C14)/2-'Mass Ion Calculations'!$D$5,('Mass Ion Calculations'!$F$15+'AA Exact Masses'!$Q$3+'AA Exact Masses'!$Q$2-'Mass Ion Calculations'!$E$26-'Mass Ion Calculations'!$E15)/2-'Mass Ion Calculations'!$D$5)))</f>
        <v/>
      </c>
      <c r="Y13" s="3" t="str">
        <f>IF(OR($B13="",Y$3=""),"",IF('Mass Ion Calculations'!$D$6="Yes",IF('Mass Ion Calculations'!$D$7="Yes",('Mass Ion Calculations'!$D$18+'AA Exact Masses'!$Q$3+'AA Exact Masses'!$Q$2-'Mass Ion Calculations'!$C$27-'Mass Ion Calculations'!$C14)/2-'Mass Ion Calculations'!$D$5,('Mass Ion Calculations'!$F$18+'AA Exact Masses'!$Q$3+'AA Exact Masses'!$Q$2-'Mass Ion Calculations'!$E$27-'Mass Ion Calculations'!$E15)/2-'Mass Ion Calculations'!$D$5),IF('Mass Ion Calculations'!$D$7="Yes", ('Mass Ion Calculations'!$D$15+'AA Exact Masses'!$Q$3+'AA Exact Masses'!$Q$2-'Mass Ion Calculations'!$C$27-'Mass Ion Calculations'!$C14)/2-'Mass Ion Calculations'!$D$5,('Mass Ion Calculations'!$F$15+'AA Exact Masses'!$Q$3+'AA Exact Masses'!$Q$2-'Mass Ion Calculations'!$E$27-'Mass Ion Calculations'!$E15)/2-'Mass Ion Calculations'!$D$5)))</f>
        <v/>
      </c>
      <c r="Z13" s="3" t="str">
        <f>IF(OR($B13="",Z$3=""),"",IF('Mass Ion Calculations'!$D$6="Yes",IF('Mass Ion Calculations'!$D$7="Yes",('Mass Ion Calculations'!$D$18+'AA Exact Masses'!$Q$3+'AA Exact Masses'!$Q$2-'Mass Ion Calculations'!$C$28-'Mass Ion Calculations'!$C14)/2-'Mass Ion Calculations'!$D$5,('Mass Ion Calculations'!$F$18+'AA Exact Masses'!$Q$3+'AA Exact Masses'!$Q$2-'Mass Ion Calculations'!$E$28-'Mass Ion Calculations'!$E15)/2-'Mass Ion Calculations'!$D$5),IF('Mass Ion Calculations'!$D$7="Yes", ('Mass Ion Calculations'!$D$15+'AA Exact Masses'!$Q$3+'AA Exact Masses'!$Q$2-'Mass Ion Calculations'!$C$28-'Mass Ion Calculations'!$C14)/2-'Mass Ion Calculations'!$D$5,('Mass Ion Calculations'!$F$15+'AA Exact Masses'!$Q$3+'AA Exact Masses'!$Q$2-'Mass Ion Calculations'!$E$28-'Mass Ion Calculations'!$E15)/2-'Mass Ion Calculations'!$D$5)))</f>
        <v/>
      </c>
    </row>
    <row r="14" spans="2:26" x14ac:dyDescent="0.25">
      <c r="B14" s="4" t="str">
        <f>IF('Mass Ion Calculations'!B15="","", 'Mass Ion Calculations'!B15)</f>
        <v>Asp(tBu)</v>
      </c>
      <c r="C14" s="3">
        <f>IF(OR($B14="",C$3=""),"",IF('Mass Ion Calculations'!$D$6="Yes",IF('Mass Ion Calculations'!$D$7="Yes",('Mass Ion Calculations'!$D$18+'AA Exact Masses'!$Q$3+'AA Exact Masses'!$Q$2-'Mass Ion Calculations'!$C$5-'Mass Ion Calculations'!$C15)/2-'Mass Ion Calculations'!$D$5,('Mass Ion Calculations'!$F$18+'AA Exact Masses'!$Q$3+'AA Exact Masses'!$Q$2-'Mass Ion Calculations'!$E$5-'Mass Ion Calculations'!$E15)/2-'Mass Ion Calculations'!$D$5),IF('Mass Ion Calculations'!$D$7="Yes", ('Mass Ion Calculations'!$D$15+'AA Exact Masses'!$Q$3+'AA Exact Masses'!$Q$2-'Mass Ion Calculations'!$C$5-'Mass Ion Calculations'!$C15)/2-'Mass Ion Calculations'!$D$5,('Mass Ion Calculations'!$F$15+'AA Exact Masses'!$Q$3+'AA Exact Masses'!$Q$2-'Mass Ion Calculations'!$E$5-'Mass Ion Calculations'!$E15)/2-'Mass Ion Calculations'!$D$5)))</f>
        <v>-414.59164499999997</v>
      </c>
      <c r="D14" s="3">
        <f>IF(OR($B14="",D$3=""),"",IF('Mass Ion Calculations'!$D$6="Yes",IF('Mass Ion Calculations'!$D$7="Yes",('Mass Ion Calculations'!$D$18+'AA Exact Masses'!$Q$3+'AA Exact Masses'!$Q$2-'Mass Ion Calculations'!$C$6-'Mass Ion Calculations'!$C15)/2-'Mass Ion Calculations'!$D$5,('Mass Ion Calculations'!$F$18+'AA Exact Masses'!$Q$3+'AA Exact Masses'!$Q$2-'Mass Ion Calculations'!$E$6-'Mass Ion Calculations'!$E15)/2-'Mass Ion Calculations'!$D$5),IF('Mass Ion Calculations'!$D$7="Yes", ('Mass Ion Calculations'!$D$15+'AA Exact Masses'!$Q$3+'AA Exact Masses'!$Q$2-'Mass Ion Calculations'!$C$6-'Mass Ion Calculations'!$C15)/2-'Mass Ion Calculations'!$D$5,('Mass Ion Calculations'!$F$15+'AA Exact Masses'!$Q$3+'AA Exact Masses'!$Q$2-'Mass Ion Calculations'!$E$6-'Mass Ion Calculations'!$E15)/2-'Mass Ion Calculations'!$D$5)))</f>
        <v>-393.07053999999994</v>
      </c>
      <c r="E14" s="3">
        <f>IF(OR($B14="",E$3=""),"",IF('Mass Ion Calculations'!$D$6="Yes",IF('Mass Ion Calculations'!$D$7="Yes",('Mass Ion Calculations'!$D$18+'AA Exact Masses'!$Q$3+'AA Exact Masses'!$Q$2-'Mass Ion Calculations'!$C$7-'Mass Ion Calculations'!$C15)/2-'Mass Ion Calculations'!$D$5,('Mass Ion Calculations'!$F$18+'AA Exact Masses'!$Q$3+'AA Exact Masses'!$Q$2-'Mass Ion Calculations'!$E$7-'Mass Ion Calculations'!$E15)/2-'Mass Ion Calculations'!$D$5),IF('Mass Ion Calculations'!$D$7="Yes", ('Mass Ion Calculations'!$D$15+'AA Exact Masses'!$Q$3+'AA Exact Masses'!$Q$2-'Mass Ion Calculations'!$C$7-'Mass Ion Calculations'!$C15)/2-'Mass Ion Calculations'!$D$5,('Mass Ion Calculations'!$F$15+'AA Exact Masses'!$Q$3+'AA Exact Masses'!$Q$2-'Mass Ion Calculations'!$E$7-'Mass Ion Calculations'!$E15)/2-'Mass Ion Calculations'!$D$5)))</f>
        <v>-414.0940149999999</v>
      </c>
      <c r="F14" s="3">
        <f>IF(OR($B14="",F$3=""),"",IF('Mass Ion Calculations'!$D$6="Yes",IF('Mass Ion Calculations'!$D$7="Yes",('Mass Ion Calculations'!$D$18+'AA Exact Masses'!$Q$3+'AA Exact Masses'!$Q$2-'Mass Ion Calculations'!$C$8-'Mass Ion Calculations'!$C15)/2-'Mass Ion Calculations'!$D$5,('Mass Ion Calculations'!$F$18+'AA Exact Masses'!$Q$3+'AA Exact Masses'!$Q$2-'Mass Ion Calculations'!$E$8-'Mass Ion Calculations'!$E15)/2-'Mass Ion Calculations'!$D$5),IF('Mass Ion Calculations'!$D$7="Yes", ('Mass Ion Calculations'!$D$15+'AA Exact Masses'!$Q$3+'AA Exact Masses'!$Q$2-'Mass Ion Calculations'!$C$8-'Mass Ion Calculations'!$C15)/2-'Mass Ion Calculations'!$D$5,('Mass Ion Calculations'!$F$15+'AA Exact Masses'!$Q$3+'AA Exact Masses'!$Q$2-'Mass Ion Calculations'!$E$8-'Mass Ion Calculations'!$E15)/2-'Mass Ion Calculations'!$D$5)))</f>
        <v>-414.0940149999999</v>
      </c>
      <c r="G14" s="3">
        <f>IF(OR($B14="",G$3=""),"",IF('Mass Ion Calculations'!$D$6="Yes",IF('Mass Ion Calculations'!$D$7="Yes",('Mass Ion Calculations'!$D$18+'AA Exact Masses'!$Q$3+'AA Exact Masses'!$Q$2-'Mass Ion Calculations'!$C$9-'Mass Ion Calculations'!$C15)/2-'Mass Ion Calculations'!$D$5,('Mass Ion Calculations'!$F$18+'AA Exact Masses'!$Q$3+'AA Exact Masses'!$Q$2-'Mass Ion Calculations'!$E$9-'Mass Ion Calculations'!$E15)/2-'Mass Ion Calculations'!$D$5),IF('Mass Ion Calculations'!$D$7="Yes", ('Mass Ion Calculations'!$D$15+'AA Exact Masses'!$Q$3+'AA Exact Masses'!$Q$2-'Mass Ion Calculations'!$C$9-'Mass Ion Calculations'!$C15)/2-'Mass Ion Calculations'!$D$5,('Mass Ion Calculations'!$F$15+'AA Exact Masses'!$Q$3+'AA Exact Masses'!$Q$2-'Mass Ion Calculations'!$E$9-'Mass Ion Calculations'!$E15)/2-'Mass Ion Calculations'!$D$5)))</f>
        <v>-393.07053999999994</v>
      </c>
      <c r="H14" s="3">
        <f>IF(OR($B14="",H$3=""),"",IF('Mass Ion Calculations'!$D$6="Yes",IF('Mass Ion Calculations'!$D$7="Yes",('Mass Ion Calculations'!$D$18+'AA Exact Masses'!$Q$3+'AA Exact Masses'!$Q$2-'Mass Ion Calculations'!$C$10-'Mass Ion Calculations'!$C15)/2-'Mass Ion Calculations'!$D$5,('Mass Ion Calculations'!$F$18+'AA Exact Masses'!$Q$3+'AA Exact Masses'!$Q$2-'Mass Ion Calculations'!$E$10-'Mass Ion Calculations'!$E15)/2-'Mass Ion Calculations'!$D$5),IF('Mass Ion Calculations'!$D$7="Yes", ('Mass Ion Calculations'!$D$15+'AA Exact Masses'!$Q$3+'AA Exact Masses'!$Q$2-'Mass Ion Calculations'!$C$10-'Mass Ion Calculations'!$C15)/2-'Mass Ion Calculations'!$D$5,('Mass Ion Calculations'!$F$15+'AA Exact Masses'!$Q$3+'AA Exact Masses'!$Q$2-'Mass Ion Calculations'!$E$10-'Mass Ion Calculations'!$E15)/2-'Mass Ion Calculations'!$D$5)))</f>
        <v>-414.0940149999999</v>
      </c>
      <c r="I14" s="3">
        <f>IF(OR($B14="",I$3=""),"",IF('Mass Ion Calculations'!$D$6="Yes",IF('Mass Ion Calculations'!$D$7="Yes",('Mass Ion Calculations'!$D$18+'AA Exact Masses'!$Q$3+'AA Exact Masses'!$Q$2-'Mass Ion Calculations'!$C$11-'Mass Ion Calculations'!$C15)/2-'Mass Ion Calculations'!$D$5,('Mass Ion Calculations'!$F$18+'AA Exact Masses'!$Q$3+'AA Exact Masses'!$Q$2-'Mass Ion Calculations'!$E$11-'Mass Ion Calculations'!$E15)/2-'Mass Ion Calculations'!$D$5),IF('Mass Ion Calculations'!$D$7="Yes", ('Mass Ion Calculations'!$D$15+'AA Exact Masses'!$Q$3+'AA Exact Masses'!$Q$2-'Mass Ion Calculations'!$C$11-'Mass Ion Calculations'!$C15)/2-'Mass Ion Calculations'!$D$5,('Mass Ion Calculations'!$F$15+'AA Exact Masses'!$Q$3+'AA Exact Masses'!$Q$2-'Mass Ion Calculations'!$E$11-'Mass Ion Calculations'!$E15)/2-'Mass Ion Calculations'!$D$5)))</f>
        <v>-414.59164499999997</v>
      </c>
      <c r="J14" s="3">
        <f>IF(OR($B14="",J$3=""),"",IF('Mass Ion Calculations'!$D$6="Yes",IF('Mass Ion Calculations'!$D$7="Yes",('Mass Ion Calculations'!$D$18+'AA Exact Masses'!$Q$3+'AA Exact Masses'!$Q$2-'Mass Ion Calculations'!$C$12-'Mass Ion Calculations'!$C15)/2-'Mass Ion Calculations'!$D$5,('Mass Ion Calculations'!$F$18+'AA Exact Masses'!$Q$3+'AA Exact Masses'!$Q$2-'Mass Ion Calculations'!$E$12-'Mass Ion Calculations'!$E15)/2-'Mass Ion Calculations'!$D$5),IF('Mass Ion Calculations'!$D$7="Yes", ('Mass Ion Calculations'!$D$15+'AA Exact Masses'!$Q$3+'AA Exact Masses'!$Q$2-'Mass Ion Calculations'!$C$12-'Mass Ion Calculations'!$C15)/2-'Mass Ion Calculations'!$D$5,('Mass Ion Calculations'!$F$15+'AA Exact Masses'!$Q$3+'AA Exact Masses'!$Q$2-'Mass Ion Calculations'!$E$12-'Mass Ion Calculations'!$E15)/2-'Mass Ion Calculations'!$D$5)))</f>
        <v>-407.08618999999999</v>
      </c>
      <c r="K14" s="3">
        <f>IF(OR($B14="",K$3=""),"",IF('Mass Ion Calculations'!$D$6="Yes",IF('Mass Ion Calculations'!$D$7="Yes",('Mass Ion Calculations'!$D$18+'AA Exact Masses'!$Q$3+'AA Exact Masses'!$Q$2-'Mass Ion Calculations'!$C$13-'Mass Ion Calculations'!$C15)/2-'Mass Ion Calculations'!$D$5,('Mass Ion Calculations'!$F$18+'AA Exact Masses'!$Q$3+'AA Exact Masses'!$Q$2-'Mass Ion Calculations'!$E$14-'Mass Ion Calculations'!$E15)/2-'Mass Ion Calculations'!$D$5),IF('Mass Ion Calculations'!$D$7="Yes", ('Mass Ion Calculations'!$D$15+'AA Exact Masses'!$Q$3+'AA Exact Masses'!$Q$2-'Mass Ion Calculations'!$C$13-'Mass Ion Calculations'!$C15)/2-'Mass Ion Calculations'!$D$5,('Mass Ion Calculations'!$F$15+'AA Exact Masses'!$Q$3+'AA Exact Masses'!$Q$2-'Mass Ion Calculations'!$E$14-'Mass Ion Calculations'!$E15)/2-'Mass Ion Calculations'!$D$5)))</f>
        <v>-422.07327999999995</v>
      </c>
      <c r="L14" s="3">
        <f>IF(OR($B14="",L$3=""),"",IF('Mass Ion Calculations'!$D$6="Yes",IF('Mass Ion Calculations'!$D$7="Yes",('Mass Ion Calculations'!$D$18+'AA Exact Masses'!$Q$3+'AA Exact Masses'!$Q$2-'Mass Ion Calculations'!$C$14-'Mass Ion Calculations'!$C15)/2-'Mass Ion Calculations'!$D$5,('Mass Ion Calculations'!$F$18+'AA Exact Masses'!$Q$3+'AA Exact Masses'!$Q$2-'Mass Ion Calculations'!$E$15-'Mass Ion Calculations'!$E15)/2-'Mass Ion Calculations'!$D$5),IF('Mass Ion Calculations'!$D$7="Yes", ('Mass Ion Calculations'!$D$15+'AA Exact Masses'!$Q$3+'AA Exact Masses'!$Q$2-'Mass Ion Calculations'!$C$14-'Mass Ion Calculations'!$C15)/2-'Mass Ion Calculations'!$D$5,('Mass Ion Calculations'!$F$15+'AA Exact Masses'!$Q$3+'AA Exact Masses'!$Q$2-'Mass Ion Calculations'!$E$15-'Mass Ion Calculations'!$E15)/2-'Mass Ion Calculations'!$D$5)))</f>
        <v>-415.06545499999993</v>
      </c>
      <c r="M14" s="3">
        <f>IF(OR($B14="",M$3=""),"",IF('Mass Ion Calculations'!$D$6="Yes",IF('Mass Ion Calculations'!$D$7="Yes",('Mass Ion Calculations'!$D$18+'AA Exact Masses'!$Q$3+'AA Exact Masses'!$Q$2-'Mass Ion Calculations'!$C$15-'Mass Ion Calculations'!$C15)/2-'Mass Ion Calculations'!$D$5,('Mass Ion Calculations'!$F$18+'AA Exact Masses'!$Q$3+'AA Exact Masses'!$Q$2-'Mass Ion Calculations'!$E$16-'Mass Ion Calculations'!$E15)/2-'Mass Ion Calculations'!$D$5),IF('Mass Ion Calculations'!$D$7="Yes", ('Mass Ion Calculations'!$D$15+'AA Exact Masses'!$Q$3+'AA Exact Masses'!$Q$2-'Mass Ion Calculations'!$C$15-'Mass Ion Calculations'!$C15)/2-'Mass Ion Calculations'!$D$5,('Mass Ion Calculations'!$F$15+'AA Exact Masses'!$Q$3+'AA Exact Masses'!$Q$2-'Mass Ion Calculations'!$E$16-'Mass Ion Calculations'!$E15)/2-'Mass Ion Calculations'!$D$5)))</f>
        <v>-393.07053999999994</v>
      </c>
      <c r="N14" s="3">
        <f>IF(OR($B14="",N$3=""),"",IF('Mass Ion Calculations'!$D$6="Yes",IF('Mass Ion Calculations'!$D$7="Yes",('Mass Ion Calculations'!$D$18+'AA Exact Masses'!$Q$3+'AA Exact Masses'!$Q$2-'Mass Ion Calculations'!$C$16-'Mass Ion Calculations'!$C15)/2-'Mass Ion Calculations'!$D$5,('Mass Ion Calculations'!$F$18+'AA Exact Masses'!$Q$3+'AA Exact Masses'!$Q$2-'Mass Ion Calculations'!$E$17-'Mass Ion Calculations'!$E15)/2-'Mass Ion Calculations'!$D$5),IF('Mass Ion Calculations'!$D$7="Yes", ('Mass Ion Calculations'!$D$15+'AA Exact Masses'!$Q$3+'AA Exact Masses'!$Q$2-'Mass Ion Calculations'!$C$16-'Mass Ion Calculations'!$C15)/2-'Mass Ion Calculations'!$D$5,('Mass Ion Calculations'!$F$15+'AA Exact Masses'!$Q$3+'AA Exact Masses'!$Q$2-'Mass Ion Calculations'!$E$17-'Mass Ion Calculations'!$E15)/2-'Mass Ion Calculations'!$D$5)))</f>
        <v>-431.08618999999999</v>
      </c>
      <c r="O14" s="3">
        <f>IF(OR($B14="",O$3=""),"",IF('Mass Ion Calculations'!$D$6="Yes",IF('Mass Ion Calculations'!$D$7="Yes",('Mass Ion Calculations'!$D$18+'AA Exact Masses'!$Q$3+'AA Exact Masses'!$Q$2-'Mass Ion Calculations'!$C$17-'Mass Ion Calculations'!$C15)/2-'Mass Ion Calculations'!$D$5,('Mass Ion Calculations'!$F$18+'AA Exact Masses'!$Q$3+'AA Exact Masses'!$Q$2-'Mass Ion Calculations'!$E$18-'Mass Ion Calculations'!$E15)/2-'Mass Ion Calculations'!$D$5),IF('Mass Ion Calculations'!$D$7="Yes", ('Mass Ion Calculations'!$D$15+'AA Exact Masses'!$Q$3+'AA Exact Masses'!$Q$2-'Mass Ion Calculations'!$C$17-'Mass Ion Calculations'!$C15)/2-'Mass Ion Calculations'!$D$5,('Mass Ion Calculations'!$F$15+'AA Exact Masses'!$Q$3+'AA Exact Masses'!$Q$2-'Mass Ion Calculations'!$E$18-'Mass Ion Calculations'!$E15)/2-'Mass Ion Calculations'!$D$5)))</f>
        <v>-494.03451499999994</v>
      </c>
      <c r="P14" s="3">
        <f>IF(OR($B14="",P$3=""),"",IF('Mass Ion Calculations'!$D$6="Yes",IF('Mass Ion Calculations'!$D$7="Yes",('Mass Ion Calculations'!$D$18+'AA Exact Masses'!$Q$3+'AA Exact Masses'!$Q$2-'Mass Ion Calculations'!$C$19-'Mass Ion Calculations'!$C15)/2-'Mass Ion Calculations'!$D$5,('Mass Ion Calculations'!$F$18+'AA Exact Masses'!$Q$3+'AA Exact Masses'!$Q$2-'Mass Ion Calculations'!$E$19-'Mass Ion Calculations'!$E15)/2-'Mass Ion Calculations'!$D$5),IF('Mass Ion Calculations'!$D$7="Yes", ('Mass Ion Calculations'!$D$15+'AA Exact Masses'!$Q$3+'AA Exact Masses'!$Q$2-'Mass Ion Calculations'!$C$19-'Mass Ion Calculations'!$C15)/2-'Mass Ion Calculations'!$D$5,('Mass Ion Calculations'!$F$15+'AA Exact Masses'!$Q$3+'AA Exact Masses'!$Q$2-'Mass Ion Calculations'!$E$19-'Mass Ion Calculations'!$E15)/2-'Mass Ion Calculations'!$D$5)))</f>
        <v>-407.08618999999999</v>
      </c>
      <c r="Q14" s="3">
        <f>IF(OR($B14="",Q$3=""),"",IF('Mass Ion Calculations'!$D$6="Yes",IF('Mass Ion Calculations'!$D$7="Yes",('Mass Ion Calculations'!$D$18+'AA Exact Masses'!$Q$3+'AA Exact Masses'!$Q$2-'Mass Ion Calculations'!$C$20-'Mass Ion Calculations'!$C15)/2-'Mass Ion Calculations'!$D$5,('Mass Ion Calculations'!$F$18+'AA Exact Masses'!$Q$3+'AA Exact Masses'!$Q$2-'Mass Ion Calculations'!$E$20-'Mass Ion Calculations'!$E15)/2-'Mass Ion Calculations'!$D$5),IF('Mass Ion Calculations'!$D$7="Yes", ('Mass Ion Calculations'!$D$15+'AA Exact Masses'!$Q$3+'AA Exact Masses'!$Q$2-'Mass Ion Calculations'!$C$20-'Mass Ion Calculations'!$C15)/2-'Mass Ion Calculations'!$D$5,('Mass Ion Calculations'!$F$15+'AA Exact Masses'!$Q$3+'AA Exact Masses'!$Q$2-'Mass Ion Calculations'!$E$20-'Mass Ion Calculations'!$E15)/2-'Mass Ion Calculations'!$D$5)))</f>
        <v>-414.0940149999999</v>
      </c>
      <c r="R14" s="3" t="e">
        <f>IF(OR($B14="",R$3=""),"",IF('Mass Ion Calculations'!$D$6="Yes",IF('Mass Ion Calculations'!$D$7="Yes",('Mass Ion Calculations'!$D$18+'AA Exact Masses'!$Q$3+'AA Exact Masses'!$Q$2-'Mass Ion Calculations'!$C$21-'Mass Ion Calculations'!$C15)/2-'Mass Ion Calculations'!$D$5,('Mass Ion Calculations'!$F$18+'AA Exact Masses'!$Q$3+'AA Exact Masses'!$Q$2-'Mass Ion Calculations'!$E$21-'Mass Ion Calculations'!$E15)/2-'Mass Ion Calculations'!$D$5),IF('Mass Ion Calculations'!$D$7="Yes", ('Mass Ion Calculations'!$D$15+'AA Exact Masses'!$Q$3+'AA Exact Masses'!$Q$2-'Mass Ion Calculations'!$C$21-'Mass Ion Calculations'!$C15)/2-'Mass Ion Calculations'!$D$5,('Mass Ion Calculations'!$F$15+'AA Exact Masses'!$Q$3+'AA Exact Masses'!$Q$2-'Mass Ion Calculations'!$E$21-'Mass Ion Calculations'!$E15)/2-'Mass Ion Calculations'!$D$5)))</f>
        <v>#VALUE!</v>
      </c>
      <c r="S14" s="3" t="str">
        <f>IF(OR($B14="",S$3=""),"",IF('Mass Ion Calculations'!$D$6="Yes",IF('Mass Ion Calculations'!$D$7="Yes",('Mass Ion Calculations'!$D$18+'AA Exact Masses'!$Q$3+'AA Exact Masses'!$Q$2-'Mass Ion Calculations'!$C$22-'Mass Ion Calculations'!$C15)/2-'Mass Ion Calculations'!$D$5,('Mass Ion Calculations'!$F$18+'AA Exact Masses'!$Q$3+'AA Exact Masses'!$Q$2-'Mass Ion Calculations'!$E$22-'Mass Ion Calculations'!$E15)/2-'Mass Ion Calculations'!$D$5),IF('Mass Ion Calculations'!$D$7="Yes", ('Mass Ion Calculations'!$D$15+'AA Exact Masses'!$Q$3+'AA Exact Masses'!$Q$2-'Mass Ion Calculations'!$C$22-'Mass Ion Calculations'!$C15)/2-'Mass Ion Calculations'!$D$5,('Mass Ion Calculations'!$F$15+'AA Exact Masses'!$Q$3+'AA Exact Masses'!$Q$2-'Mass Ion Calculations'!$E$22-'Mass Ion Calculations'!$E15)/2-'Mass Ion Calculations'!$D$5)))</f>
        <v/>
      </c>
      <c r="T14" s="3" t="e">
        <f>IF(OR($B14="",T$3=""),"",IF('Mass Ion Calculations'!$D$6="Yes",IF('Mass Ion Calculations'!$D$7="Yes",('Mass Ion Calculations'!$D$18+'AA Exact Masses'!$Q$3+'AA Exact Masses'!$Q$2-'Mass Ion Calculations'!$C$22-'Mass Ion Calculations'!$C15)/2-'Mass Ion Calculations'!$D$5,('Mass Ion Calculations'!$F$18+'AA Exact Masses'!$Q$3+'AA Exact Masses'!$Q$2-'Mass Ion Calculations'!$E$22-'Mass Ion Calculations'!$E16)/2-'Mass Ion Calculations'!$D$5),IF('Mass Ion Calculations'!$D$7="Yes", ('Mass Ion Calculations'!$D$15+'AA Exact Masses'!$Q$3+'AA Exact Masses'!$Q$2-'Mass Ion Calculations'!$C$22-'Mass Ion Calculations'!$C15)/2-'Mass Ion Calculations'!$D$5,('Mass Ion Calculations'!$F$15+'AA Exact Masses'!$Q$3+'AA Exact Masses'!$Q$2-'Mass Ion Calculations'!$E$22-'Mass Ion Calculations'!$E16)/2-'Mass Ion Calculations'!$D$5)))</f>
        <v>#VALUE!</v>
      </c>
      <c r="U14" s="3" t="e">
        <f>IF(OR($B14="",U$3=""),"",IF('Mass Ion Calculations'!$D$6="Yes",IF('Mass Ion Calculations'!$D$7="Yes",('Mass Ion Calculations'!$D$18+'AA Exact Masses'!$Q$3+'AA Exact Masses'!$Q$2-'Mass Ion Calculations'!$C$23-'Mass Ion Calculations'!$C15)/2-'Mass Ion Calculations'!$D$5,('Mass Ion Calculations'!$F$18+'AA Exact Masses'!$Q$3+'AA Exact Masses'!$Q$2-'Mass Ion Calculations'!$E$23-'Mass Ion Calculations'!$E16)/2-'Mass Ion Calculations'!$D$5),IF('Mass Ion Calculations'!$D$7="Yes", ('Mass Ion Calculations'!$D$15+'AA Exact Masses'!$Q$3+'AA Exact Masses'!$Q$2-'Mass Ion Calculations'!$C$23-'Mass Ion Calculations'!$C15)/2-'Mass Ion Calculations'!$D$5,('Mass Ion Calculations'!$F$15+'AA Exact Masses'!$Q$3+'AA Exact Masses'!$Q$2-'Mass Ion Calculations'!$E$23-'Mass Ion Calculations'!$E16)/2-'Mass Ion Calculations'!$D$5)))</f>
        <v>#VALUE!</v>
      </c>
      <c r="V14" s="3" t="str">
        <f>IF(OR($B14="",V$3=""),"",IF('Mass Ion Calculations'!$D$6="Yes",IF('Mass Ion Calculations'!$D$7="Yes",('Mass Ion Calculations'!$D$18+'AA Exact Masses'!$Q$3+'AA Exact Masses'!$Q$2-'Mass Ion Calculations'!$C$24-'Mass Ion Calculations'!$C15)/2-'Mass Ion Calculations'!$D$5,('Mass Ion Calculations'!$F$18+'AA Exact Masses'!$Q$3+'AA Exact Masses'!$Q$2-'Mass Ion Calculations'!$E$24-'Mass Ion Calculations'!$E16)/2-'Mass Ion Calculations'!$D$5),IF('Mass Ion Calculations'!$D$7="Yes", ('Mass Ion Calculations'!$D$15+'AA Exact Masses'!$Q$3+'AA Exact Masses'!$Q$2-'Mass Ion Calculations'!$C$24-'Mass Ion Calculations'!$C15)/2-'Mass Ion Calculations'!$D$5,('Mass Ion Calculations'!$F$15+'AA Exact Masses'!$Q$3+'AA Exact Masses'!$Q$2-'Mass Ion Calculations'!$E$24-'Mass Ion Calculations'!$E16)/2-'Mass Ion Calculations'!$D$5)))</f>
        <v/>
      </c>
      <c r="W14" s="3" t="str">
        <f>IF(OR($B14="",W$3=""),"",IF('Mass Ion Calculations'!$D$6="Yes",IF('Mass Ion Calculations'!$D$7="Yes",('Mass Ion Calculations'!$D$18+'AA Exact Masses'!$Q$3+'AA Exact Masses'!$Q$2-'Mass Ion Calculations'!$C$25-'Mass Ion Calculations'!$C15)/2-'Mass Ion Calculations'!$D$5,('Mass Ion Calculations'!$F$18+'AA Exact Masses'!$Q$3+'AA Exact Masses'!$Q$2-'Mass Ion Calculations'!$E$25-'Mass Ion Calculations'!$E16)/2-'Mass Ion Calculations'!$D$5),IF('Mass Ion Calculations'!$D$7="Yes", ('Mass Ion Calculations'!$D$15+'AA Exact Masses'!$Q$3+'AA Exact Masses'!$Q$2-'Mass Ion Calculations'!$C$25-'Mass Ion Calculations'!$C15)/2-'Mass Ion Calculations'!$D$5,('Mass Ion Calculations'!$F$15+'AA Exact Masses'!$Q$3+'AA Exact Masses'!$Q$2-'Mass Ion Calculations'!$E$25-'Mass Ion Calculations'!$E16)/2-'Mass Ion Calculations'!$D$5)))</f>
        <v/>
      </c>
      <c r="X14" s="3" t="str">
        <f>IF(OR($B14="",X$3=""),"",IF('Mass Ion Calculations'!$D$6="Yes",IF('Mass Ion Calculations'!$D$7="Yes",('Mass Ion Calculations'!$D$18+'AA Exact Masses'!$Q$3+'AA Exact Masses'!$Q$2-'Mass Ion Calculations'!$C$26-'Mass Ion Calculations'!$C15)/2-'Mass Ion Calculations'!$D$5,('Mass Ion Calculations'!$F$18+'AA Exact Masses'!$Q$3+'AA Exact Masses'!$Q$2-'Mass Ion Calculations'!$E$26-'Mass Ion Calculations'!$E16)/2-'Mass Ion Calculations'!$D$5),IF('Mass Ion Calculations'!$D$7="Yes", ('Mass Ion Calculations'!$D$15+'AA Exact Masses'!$Q$3+'AA Exact Masses'!$Q$2-'Mass Ion Calculations'!$C$26-'Mass Ion Calculations'!$C15)/2-'Mass Ion Calculations'!$D$5,('Mass Ion Calculations'!$F$15+'AA Exact Masses'!$Q$3+'AA Exact Masses'!$Q$2-'Mass Ion Calculations'!$E$26-'Mass Ion Calculations'!$E16)/2-'Mass Ion Calculations'!$D$5)))</f>
        <v/>
      </c>
      <c r="Y14" s="3" t="str">
        <f>IF(OR($B14="",Y$3=""),"",IF('Mass Ion Calculations'!$D$6="Yes",IF('Mass Ion Calculations'!$D$7="Yes",('Mass Ion Calculations'!$D$18+'AA Exact Masses'!$Q$3+'AA Exact Masses'!$Q$2-'Mass Ion Calculations'!$C$27-'Mass Ion Calculations'!$C15)/2-'Mass Ion Calculations'!$D$5,('Mass Ion Calculations'!$F$18+'AA Exact Masses'!$Q$3+'AA Exact Masses'!$Q$2-'Mass Ion Calculations'!$E$27-'Mass Ion Calculations'!$E16)/2-'Mass Ion Calculations'!$D$5),IF('Mass Ion Calculations'!$D$7="Yes", ('Mass Ion Calculations'!$D$15+'AA Exact Masses'!$Q$3+'AA Exact Masses'!$Q$2-'Mass Ion Calculations'!$C$27-'Mass Ion Calculations'!$C15)/2-'Mass Ion Calculations'!$D$5,('Mass Ion Calculations'!$F$15+'AA Exact Masses'!$Q$3+'AA Exact Masses'!$Q$2-'Mass Ion Calculations'!$E$27-'Mass Ion Calculations'!$E16)/2-'Mass Ion Calculations'!$D$5)))</f>
        <v/>
      </c>
      <c r="Z14" s="3" t="str">
        <f>IF(OR($B14="",Z$3=""),"",IF('Mass Ion Calculations'!$D$6="Yes",IF('Mass Ion Calculations'!$D$7="Yes",('Mass Ion Calculations'!$D$18+'AA Exact Masses'!$Q$3+'AA Exact Masses'!$Q$2-'Mass Ion Calculations'!$C$28-'Mass Ion Calculations'!$C15)/2-'Mass Ion Calculations'!$D$5,('Mass Ion Calculations'!$F$18+'AA Exact Masses'!$Q$3+'AA Exact Masses'!$Q$2-'Mass Ion Calculations'!$E$28-'Mass Ion Calculations'!$E16)/2-'Mass Ion Calculations'!$D$5),IF('Mass Ion Calculations'!$D$7="Yes", ('Mass Ion Calculations'!$D$15+'AA Exact Masses'!$Q$3+'AA Exact Masses'!$Q$2-'Mass Ion Calculations'!$C$28-'Mass Ion Calculations'!$C15)/2-'Mass Ion Calculations'!$D$5,('Mass Ion Calculations'!$F$15+'AA Exact Masses'!$Q$3+'AA Exact Masses'!$Q$2-'Mass Ion Calculations'!$E$28-'Mass Ion Calculations'!$E16)/2-'Mass Ion Calculations'!$D$5)))</f>
        <v/>
      </c>
    </row>
    <row r="15" spans="2:26" x14ac:dyDescent="0.25">
      <c r="B15" s="4" t="str">
        <f>IF('Mass Ion Calculations'!B16="","", 'Mass Ion Calculations'!B16)</f>
        <v>Ala</v>
      </c>
      <c r="C15" s="3">
        <f>IF(OR($B15="",C$3=""),"",IF('Mass Ion Calculations'!$D$6="Yes",IF('Mass Ion Calculations'!$D$7="Yes",('Mass Ion Calculations'!$D$18+'AA Exact Masses'!$Q$3+'AA Exact Masses'!$Q$2-'Mass Ion Calculations'!$C$5-'Mass Ion Calculations'!$C16)/2-'Mass Ion Calculations'!$D$5,('Mass Ion Calculations'!$F$18+'AA Exact Masses'!$Q$3+'AA Exact Masses'!$Q$2-'Mass Ion Calculations'!$E$5-'Mass Ion Calculations'!$E16)/2-'Mass Ion Calculations'!$D$5),IF('Mass Ion Calculations'!$D$7="Yes", ('Mass Ion Calculations'!$D$15+'AA Exact Masses'!$Q$3+'AA Exact Masses'!$Q$2-'Mass Ion Calculations'!$C$5-'Mass Ion Calculations'!$C16)/2-'Mass Ion Calculations'!$D$5,('Mass Ion Calculations'!$F$15+'AA Exact Masses'!$Q$3+'AA Exact Masses'!$Q$2-'Mass Ion Calculations'!$E$5-'Mass Ion Calculations'!$E16)/2-'Mass Ion Calculations'!$D$5)))</f>
        <v>-392.59672999999998</v>
      </c>
      <c r="D15" s="3">
        <f>IF(OR($B15="",D$3=""),"",IF('Mass Ion Calculations'!$D$6="Yes",IF('Mass Ion Calculations'!$D$7="Yes",('Mass Ion Calculations'!$D$18+'AA Exact Masses'!$Q$3+'AA Exact Masses'!$Q$2-'Mass Ion Calculations'!$C$6-'Mass Ion Calculations'!$C16)/2-'Mass Ion Calculations'!$D$5,('Mass Ion Calculations'!$F$18+'AA Exact Masses'!$Q$3+'AA Exact Masses'!$Q$2-'Mass Ion Calculations'!$E$6-'Mass Ion Calculations'!$E16)/2-'Mass Ion Calculations'!$D$5),IF('Mass Ion Calculations'!$D$7="Yes", ('Mass Ion Calculations'!$D$15+'AA Exact Masses'!$Q$3+'AA Exact Masses'!$Q$2-'Mass Ion Calculations'!$C$6-'Mass Ion Calculations'!$C16)/2-'Mass Ion Calculations'!$D$5,('Mass Ion Calculations'!$F$15+'AA Exact Masses'!$Q$3+'AA Exact Masses'!$Q$2-'Mass Ion Calculations'!$E$6-'Mass Ion Calculations'!$E16)/2-'Mass Ion Calculations'!$D$5)))</f>
        <v>-371.07562499999995</v>
      </c>
      <c r="E15" s="3">
        <f>IF(OR($B15="",E$3=""),"",IF('Mass Ion Calculations'!$D$6="Yes",IF('Mass Ion Calculations'!$D$7="Yes",('Mass Ion Calculations'!$D$18+'AA Exact Masses'!$Q$3+'AA Exact Masses'!$Q$2-'Mass Ion Calculations'!$C$7-'Mass Ion Calculations'!$C16)/2-'Mass Ion Calculations'!$D$5,('Mass Ion Calculations'!$F$18+'AA Exact Masses'!$Q$3+'AA Exact Masses'!$Q$2-'Mass Ion Calculations'!$E$7-'Mass Ion Calculations'!$E16)/2-'Mass Ion Calculations'!$D$5),IF('Mass Ion Calculations'!$D$7="Yes", ('Mass Ion Calculations'!$D$15+'AA Exact Masses'!$Q$3+'AA Exact Masses'!$Q$2-'Mass Ion Calculations'!$C$7-'Mass Ion Calculations'!$C16)/2-'Mass Ion Calculations'!$D$5,('Mass Ion Calculations'!$F$15+'AA Exact Masses'!$Q$3+'AA Exact Masses'!$Q$2-'Mass Ion Calculations'!$E$7-'Mass Ion Calculations'!$E16)/2-'Mass Ion Calculations'!$D$5)))</f>
        <v>-392.09909999999991</v>
      </c>
      <c r="F15" s="3">
        <f>IF(OR($B15="",F$3=""),"",IF('Mass Ion Calculations'!$D$6="Yes",IF('Mass Ion Calculations'!$D$7="Yes",('Mass Ion Calculations'!$D$18+'AA Exact Masses'!$Q$3+'AA Exact Masses'!$Q$2-'Mass Ion Calculations'!$C$8-'Mass Ion Calculations'!$C16)/2-'Mass Ion Calculations'!$D$5,('Mass Ion Calculations'!$F$18+'AA Exact Masses'!$Q$3+'AA Exact Masses'!$Q$2-'Mass Ion Calculations'!$E$8-'Mass Ion Calculations'!$E16)/2-'Mass Ion Calculations'!$D$5),IF('Mass Ion Calculations'!$D$7="Yes", ('Mass Ion Calculations'!$D$15+'AA Exact Masses'!$Q$3+'AA Exact Masses'!$Q$2-'Mass Ion Calculations'!$C$8-'Mass Ion Calculations'!$C16)/2-'Mass Ion Calculations'!$D$5,('Mass Ion Calculations'!$F$15+'AA Exact Masses'!$Q$3+'AA Exact Masses'!$Q$2-'Mass Ion Calculations'!$E$8-'Mass Ion Calculations'!$E16)/2-'Mass Ion Calculations'!$D$5)))</f>
        <v>-392.09909999999991</v>
      </c>
      <c r="G15" s="3">
        <f>IF(OR($B15="",G$3=""),"",IF('Mass Ion Calculations'!$D$6="Yes",IF('Mass Ion Calculations'!$D$7="Yes",('Mass Ion Calculations'!$D$18+'AA Exact Masses'!$Q$3+'AA Exact Masses'!$Q$2-'Mass Ion Calculations'!$C$9-'Mass Ion Calculations'!$C16)/2-'Mass Ion Calculations'!$D$5,('Mass Ion Calculations'!$F$18+'AA Exact Masses'!$Q$3+'AA Exact Masses'!$Q$2-'Mass Ion Calculations'!$E$9-'Mass Ion Calculations'!$E16)/2-'Mass Ion Calculations'!$D$5),IF('Mass Ion Calculations'!$D$7="Yes", ('Mass Ion Calculations'!$D$15+'AA Exact Masses'!$Q$3+'AA Exact Masses'!$Q$2-'Mass Ion Calculations'!$C$9-'Mass Ion Calculations'!$C16)/2-'Mass Ion Calculations'!$D$5,('Mass Ion Calculations'!$F$15+'AA Exact Masses'!$Q$3+'AA Exact Masses'!$Q$2-'Mass Ion Calculations'!$E$9-'Mass Ion Calculations'!$E16)/2-'Mass Ion Calculations'!$D$5)))</f>
        <v>-371.07562499999995</v>
      </c>
      <c r="H15" s="3">
        <f>IF(OR($B15="",H$3=""),"",IF('Mass Ion Calculations'!$D$6="Yes",IF('Mass Ion Calculations'!$D$7="Yes",('Mass Ion Calculations'!$D$18+'AA Exact Masses'!$Q$3+'AA Exact Masses'!$Q$2-'Mass Ion Calculations'!$C$10-'Mass Ion Calculations'!$C16)/2-'Mass Ion Calculations'!$D$5,('Mass Ion Calculations'!$F$18+'AA Exact Masses'!$Q$3+'AA Exact Masses'!$Q$2-'Mass Ion Calculations'!$E$10-'Mass Ion Calculations'!$E16)/2-'Mass Ion Calculations'!$D$5),IF('Mass Ion Calculations'!$D$7="Yes", ('Mass Ion Calculations'!$D$15+'AA Exact Masses'!$Q$3+'AA Exact Masses'!$Q$2-'Mass Ion Calculations'!$C$10-'Mass Ion Calculations'!$C16)/2-'Mass Ion Calculations'!$D$5,('Mass Ion Calculations'!$F$15+'AA Exact Masses'!$Q$3+'AA Exact Masses'!$Q$2-'Mass Ion Calculations'!$E$10-'Mass Ion Calculations'!$E16)/2-'Mass Ion Calculations'!$D$5)))</f>
        <v>-392.09909999999991</v>
      </c>
      <c r="I15" s="3">
        <f>IF(OR($B15="",I$3=""),"",IF('Mass Ion Calculations'!$D$6="Yes",IF('Mass Ion Calculations'!$D$7="Yes",('Mass Ion Calculations'!$D$18+'AA Exact Masses'!$Q$3+'AA Exact Masses'!$Q$2-'Mass Ion Calculations'!$C$11-'Mass Ion Calculations'!$C16)/2-'Mass Ion Calculations'!$D$5,('Mass Ion Calculations'!$F$18+'AA Exact Masses'!$Q$3+'AA Exact Masses'!$Q$2-'Mass Ion Calculations'!$E$11-'Mass Ion Calculations'!$E16)/2-'Mass Ion Calculations'!$D$5),IF('Mass Ion Calculations'!$D$7="Yes", ('Mass Ion Calculations'!$D$15+'AA Exact Masses'!$Q$3+'AA Exact Masses'!$Q$2-'Mass Ion Calculations'!$C$11-'Mass Ion Calculations'!$C16)/2-'Mass Ion Calculations'!$D$5,('Mass Ion Calculations'!$F$15+'AA Exact Masses'!$Q$3+'AA Exact Masses'!$Q$2-'Mass Ion Calculations'!$E$11-'Mass Ion Calculations'!$E16)/2-'Mass Ion Calculations'!$D$5)))</f>
        <v>-392.59672999999998</v>
      </c>
      <c r="J15" s="3">
        <f>IF(OR($B15="",J$3=""),"",IF('Mass Ion Calculations'!$D$6="Yes",IF('Mass Ion Calculations'!$D$7="Yes",('Mass Ion Calculations'!$D$18+'AA Exact Masses'!$Q$3+'AA Exact Masses'!$Q$2-'Mass Ion Calculations'!$C$12-'Mass Ion Calculations'!$C16)/2-'Mass Ion Calculations'!$D$5,('Mass Ion Calculations'!$F$18+'AA Exact Masses'!$Q$3+'AA Exact Masses'!$Q$2-'Mass Ion Calculations'!$E$12-'Mass Ion Calculations'!$E16)/2-'Mass Ion Calculations'!$D$5),IF('Mass Ion Calculations'!$D$7="Yes", ('Mass Ion Calculations'!$D$15+'AA Exact Masses'!$Q$3+'AA Exact Masses'!$Q$2-'Mass Ion Calculations'!$C$12-'Mass Ion Calculations'!$C16)/2-'Mass Ion Calculations'!$D$5,('Mass Ion Calculations'!$F$15+'AA Exact Masses'!$Q$3+'AA Exact Masses'!$Q$2-'Mass Ion Calculations'!$E$12-'Mass Ion Calculations'!$E16)/2-'Mass Ion Calculations'!$D$5)))</f>
        <v>-385.091275</v>
      </c>
      <c r="K15" s="3">
        <f>IF(OR($B15="",K$3=""),"",IF('Mass Ion Calculations'!$D$6="Yes",IF('Mass Ion Calculations'!$D$7="Yes",('Mass Ion Calculations'!$D$18+'AA Exact Masses'!$Q$3+'AA Exact Masses'!$Q$2-'Mass Ion Calculations'!$C$13-'Mass Ion Calculations'!$C16)/2-'Mass Ion Calculations'!$D$5,('Mass Ion Calculations'!$F$18+'AA Exact Masses'!$Q$3+'AA Exact Masses'!$Q$2-'Mass Ion Calculations'!$E$14-'Mass Ion Calculations'!$E16)/2-'Mass Ion Calculations'!$D$5),IF('Mass Ion Calculations'!$D$7="Yes", ('Mass Ion Calculations'!$D$15+'AA Exact Masses'!$Q$3+'AA Exact Masses'!$Q$2-'Mass Ion Calculations'!$C$13-'Mass Ion Calculations'!$C16)/2-'Mass Ion Calculations'!$D$5,('Mass Ion Calculations'!$F$15+'AA Exact Masses'!$Q$3+'AA Exact Masses'!$Q$2-'Mass Ion Calculations'!$E$14-'Mass Ion Calculations'!$E16)/2-'Mass Ion Calculations'!$D$5)))</f>
        <v>-400.07836499999996</v>
      </c>
      <c r="L15" s="3">
        <f>IF(OR($B15="",L$3=""),"",IF('Mass Ion Calculations'!$D$6="Yes",IF('Mass Ion Calculations'!$D$7="Yes",('Mass Ion Calculations'!$D$18+'AA Exact Masses'!$Q$3+'AA Exact Masses'!$Q$2-'Mass Ion Calculations'!$C$14-'Mass Ion Calculations'!$C16)/2-'Mass Ion Calculations'!$D$5,('Mass Ion Calculations'!$F$18+'AA Exact Masses'!$Q$3+'AA Exact Masses'!$Q$2-'Mass Ion Calculations'!$E$15-'Mass Ion Calculations'!$E16)/2-'Mass Ion Calculations'!$D$5),IF('Mass Ion Calculations'!$D$7="Yes", ('Mass Ion Calculations'!$D$15+'AA Exact Masses'!$Q$3+'AA Exact Masses'!$Q$2-'Mass Ion Calculations'!$C$14-'Mass Ion Calculations'!$C16)/2-'Mass Ion Calculations'!$D$5,('Mass Ion Calculations'!$F$15+'AA Exact Masses'!$Q$3+'AA Exact Masses'!$Q$2-'Mass Ion Calculations'!$E$15-'Mass Ion Calculations'!$E16)/2-'Mass Ion Calculations'!$D$5)))</f>
        <v>-393.07053999999994</v>
      </c>
      <c r="M15" s="3">
        <f>IF(OR($B15="",M$3=""),"",IF('Mass Ion Calculations'!$D$6="Yes",IF('Mass Ion Calculations'!$D$7="Yes",('Mass Ion Calculations'!$D$18+'AA Exact Masses'!$Q$3+'AA Exact Masses'!$Q$2-'Mass Ion Calculations'!$C$15-'Mass Ion Calculations'!$C16)/2-'Mass Ion Calculations'!$D$5,('Mass Ion Calculations'!$F$18+'AA Exact Masses'!$Q$3+'AA Exact Masses'!$Q$2-'Mass Ion Calculations'!$E$16-'Mass Ion Calculations'!$E16)/2-'Mass Ion Calculations'!$D$5),IF('Mass Ion Calculations'!$D$7="Yes", ('Mass Ion Calculations'!$D$15+'AA Exact Masses'!$Q$3+'AA Exact Masses'!$Q$2-'Mass Ion Calculations'!$C$15-'Mass Ion Calculations'!$C16)/2-'Mass Ion Calculations'!$D$5,('Mass Ion Calculations'!$F$15+'AA Exact Masses'!$Q$3+'AA Exact Masses'!$Q$2-'Mass Ion Calculations'!$E$16-'Mass Ion Calculations'!$E16)/2-'Mass Ion Calculations'!$D$5)))</f>
        <v>-371.07562499999995</v>
      </c>
      <c r="N15" s="3">
        <f>IF(OR($B15="",N$3=""),"",IF('Mass Ion Calculations'!$D$6="Yes",IF('Mass Ion Calculations'!$D$7="Yes",('Mass Ion Calculations'!$D$18+'AA Exact Masses'!$Q$3+'AA Exact Masses'!$Q$2-'Mass Ion Calculations'!$C$16-'Mass Ion Calculations'!$C16)/2-'Mass Ion Calculations'!$D$5,('Mass Ion Calculations'!$F$18+'AA Exact Masses'!$Q$3+'AA Exact Masses'!$Q$2-'Mass Ion Calculations'!$E$17-'Mass Ion Calculations'!$E16)/2-'Mass Ion Calculations'!$D$5),IF('Mass Ion Calculations'!$D$7="Yes", ('Mass Ion Calculations'!$D$15+'AA Exact Masses'!$Q$3+'AA Exact Masses'!$Q$2-'Mass Ion Calculations'!$C$16-'Mass Ion Calculations'!$C16)/2-'Mass Ion Calculations'!$D$5,('Mass Ion Calculations'!$F$15+'AA Exact Masses'!$Q$3+'AA Exact Masses'!$Q$2-'Mass Ion Calculations'!$E$17-'Mass Ion Calculations'!$E16)/2-'Mass Ion Calculations'!$D$5)))</f>
        <v>-409.091275</v>
      </c>
      <c r="O15" s="3">
        <f>IF(OR($B15="",O$3=""),"",IF('Mass Ion Calculations'!$D$6="Yes",IF('Mass Ion Calculations'!$D$7="Yes",('Mass Ion Calculations'!$D$18+'AA Exact Masses'!$Q$3+'AA Exact Masses'!$Q$2-'Mass Ion Calculations'!$C$17-'Mass Ion Calculations'!$C16)/2-'Mass Ion Calculations'!$D$5,('Mass Ion Calculations'!$F$18+'AA Exact Masses'!$Q$3+'AA Exact Masses'!$Q$2-'Mass Ion Calculations'!$E$18-'Mass Ion Calculations'!$E16)/2-'Mass Ion Calculations'!$D$5),IF('Mass Ion Calculations'!$D$7="Yes", ('Mass Ion Calculations'!$D$15+'AA Exact Masses'!$Q$3+'AA Exact Masses'!$Q$2-'Mass Ion Calculations'!$C$17-'Mass Ion Calculations'!$C16)/2-'Mass Ion Calculations'!$D$5,('Mass Ion Calculations'!$F$15+'AA Exact Masses'!$Q$3+'AA Exact Masses'!$Q$2-'Mass Ion Calculations'!$E$18-'Mass Ion Calculations'!$E16)/2-'Mass Ion Calculations'!$D$5)))</f>
        <v>-472.03959999999995</v>
      </c>
      <c r="P15" s="3">
        <f>IF(OR($B15="",P$3=""),"",IF('Mass Ion Calculations'!$D$6="Yes",IF('Mass Ion Calculations'!$D$7="Yes",('Mass Ion Calculations'!$D$18+'AA Exact Masses'!$Q$3+'AA Exact Masses'!$Q$2-'Mass Ion Calculations'!$C$19-'Mass Ion Calculations'!$C16)/2-'Mass Ion Calculations'!$D$5,('Mass Ion Calculations'!$F$18+'AA Exact Masses'!$Q$3+'AA Exact Masses'!$Q$2-'Mass Ion Calculations'!$E$19-'Mass Ion Calculations'!$E16)/2-'Mass Ion Calculations'!$D$5),IF('Mass Ion Calculations'!$D$7="Yes", ('Mass Ion Calculations'!$D$15+'AA Exact Masses'!$Q$3+'AA Exact Masses'!$Q$2-'Mass Ion Calculations'!$C$19-'Mass Ion Calculations'!$C16)/2-'Mass Ion Calculations'!$D$5,('Mass Ion Calculations'!$F$15+'AA Exact Masses'!$Q$3+'AA Exact Masses'!$Q$2-'Mass Ion Calculations'!$E$19-'Mass Ion Calculations'!$E16)/2-'Mass Ion Calculations'!$D$5)))</f>
        <v>-385.091275</v>
      </c>
      <c r="Q15" s="3">
        <f>IF(OR($B15="",Q$3=""),"",IF('Mass Ion Calculations'!$D$6="Yes",IF('Mass Ion Calculations'!$D$7="Yes",('Mass Ion Calculations'!$D$18+'AA Exact Masses'!$Q$3+'AA Exact Masses'!$Q$2-'Mass Ion Calculations'!$C$20-'Mass Ion Calculations'!$C16)/2-'Mass Ion Calculations'!$D$5,('Mass Ion Calculations'!$F$18+'AA Exact Masses'!$Q$3+'AA Exact Masses'!$Q$2-'Mass Ion Calculations'!$E$20-'Mass Ion Calculations'!$E16)/2-'Mass Ion Calculations'!$D$5),IF('Mass Ion Calculations'!$D$7="Yes", ('Mass Ion Calculations'!$D$15+'AA Exact Masses'!$Q$3+'AA Exact Masses'!$Q$2-'Mass Ion Calculations'!$C$20-'Mass Ion Calculations'!$C16)/2-'Mass Ion Calculations'!$D$5,('Mass Ion Calculations'!$F$15+'AA Exact Masses'!$Q$3+'AA Exact Masses'!$Q$2-'Mass Ion Calculations'!$E$20-'Mass Ion Calculations'!$E16)/2-'Mass Ion Calculations'!$D$5)))</f>
        <v>-392.09909999999991</v>
      </c>
      <c r="R15" s="3" t="e">
        <f>IF(OR($B15="",R$3=""),"",IF('Mass Ion Calculations'!$D$6="Yes",IF('Mass Ion Calculations'!$D$7="Yes",('Mass Ion Calculations'!$D$18+'AA Exact Masses'!$Q$3+'AA Exact Masses'!$Q$2-'Mass Ion Calculations'!$C$21-'Mass Ion Calculations'!$C16)/2-'Mass Ion Calculations'!$D$5,('Mass Ion Calculations'!$F$18+'AA Exact Masses'!$Q$3+'AA Exact Masses'!$Q$2-'Mass Ion Calculations'!$E$21-'Mass Ion Calculations'!$E16)/2-'Mass Ion Calculations'!$D$5),IF('Mass Ion Calculations'!$D$7="Yes", ('Mass Ion Calculations'!$D$15+'AA Exact Masses'!$Q$3+'AA Exact Masses'!$Q$2-'Mass Ion Calculations'!$C$21-'Mass Ion Calculations'!$C16)/2-'Mass Ion Calculations'!$D$5,('Mass Ion Calculations'!$F$15+'AA Exact Masses'!$Q$3+'AA Exact Masses'!$Q$2-'Mass Ion Calculations'!$E$21-'Mass Ion Calculations'!$E16)/2-'Mass Ion Calculations'!$D$5)))</f>
        <v>#VALUE!</v>
      </c>
      <c r="S15" s="3" t="str">
        <f>IF(OR($B15="",S$3=""),"",IF('Mass Ion Calculations'!$D$6="Yes",IF('Mass Ion Calculations'!$D$7="Yes",('Mass Ion Calculations'!$D$18+'AA Exact Masses'!$Q$3+'AA Exact Masses'!$Q$2-'Mass Ion Calculations'!$C$22-'Mass Ion Calculations'!$C16)/2-'Mass Ion Calculations'!$D$5,('Mass Ion Calculations'!$F$18+'AA Exact Masses'!$Q$3+'AA Exact Masses'!$Q$2-'Mass Ion Calculations'!$E$22-'Mass Ion Calculations'!$E16)/2-'Mass Ion Calculations'!$D$5),IF('Mass Ion Calculations'!$D$7="Yes", ('Mass Ion Calculations'!$D$15+'AA Exact Masses'!$Q$3+'AA Exact Masses'!$Q$2-'Mass Ion Calculations'!$C$22-'Mass Ion Calculations'!$C16)/2-'Mass Ion Calculations'!$D$5,('Mass Ion Calculations'!$F$15+'AA Exact Masses'!$Q$3+'AA Exact Masses'!$Q$2-'Mass Ion Calculations'!$E$22-'Mass Ion Calculations'!$E16)/2-'Mass Ion Calculations'!$D$5)))</f>
        <v/>
      </c>
      <c r="T15" s="3" t="e">
        <f>IF(OR($B15="",T$3=""),"",IF('Mass Ion Calculations'!$D$6="Yes",IF('Mass Ion Calculations'!$D$7="Yes",('Mass Ion Calculations'!$D$18+'AA Exact Masses'!$Q$3+'AA Exact Masses'!$Q$2-'Mass Ion Calculations'!$C$22-'Mass Ion Calculations'!$C16)/2-'Mass Ion Calculations'!$D$5,('Mass Ion Calculations'!$F$18+'AA Exact Masses'!$Q$3+'AA Exact Masses'!$Q$2-'Mass Ion Calculations'!$E$22-'Mass Ion Calculations'!$E17)/2-'Mass Ion Calculations'!$D$5),IF('Mass Ion Calculations'!$D$7="Yes", ('Mass Ion Calculations'!$D$15+'AA Exact Masses'!$Q$3+'AA Exact Masses'!$Q$2-'Mass Ion Calculations'!$C$22-'Mass Ion Calculations'!$C16)/2-'Mass Ion Calculations'!$D$5,('Mass Ion Calculations'!$F$15+'AA Exact Masses'!$Q$3+'AA Exact Masses'!$Q$2-'Mass Ion Calculations'!$E$22-'Mass Ion Calculations'!$E17)/2-'Mass Ion Calculations'!$D$5)))</f>
        <v>#VALUE!</v>
      </c>
      <c r="U15" s="3" t="e">
        <f>IF(OR($B15="",U$3=""),"",IF('Mass Ion Calculations'!$D$6="Yes",IF('Mass Ion Calculations'!$D$7="Yes",('Mass Ion Calculations'!$D$18+'AA Exact Masses'!$Q$3+'AA Exact Masses'!$Q$2-'Mass Ion Calculations'!$C$23-'Mass Ion Calculations'!$C16)/2-'Mass Ion Calculations'!$D$5,('Mass Ion Calculations'!$F$18+'AA Exact Masses'!$Q$3+'AA Exact Masses'!$Q$2-'Mass Ion Calculations'!$E$23-'Mass Ion Calculations'!$E17)/2-'Mass Ion Calculations'!$D$5),IF('Mass Ion Calculations'!$D$7="Yes", ('Mass Ion Calculations'!$D$15+'AA Exact Masses'!$Q$3+'AA Exact Masses'!$Q$2-'Mass Ion Calculations'!$C$23-'Mass Ion Calculations'!$C16)/2-'Mass Ion Calculations'!$D$5,('Mass Ion Calculations'!$F$15+'AA Exact Masses'!$Q$3+'AA Exact Masses'!$Q$2-'Mass Ion Calculations'!$E$23-'Mass Ion Calculations'!$E17)/2-'Mass Ion Calculations'!$D$5)))</f>
        <v>#VALUE!</v>
      </c>
      <c r="V15" s="3" t="str">
        <f>IF(OR($B15="",V$3=""),"",IF('Mass Ion Calculations'!$D$6="Yes",IF('Mass Ion Calculations'!$D$7="Yes",('Mass Ion Calculations'!$D$18+'AA Exact Masses'!$Q$3+'AA Exact Masses'!$Q$2-'Mass Ion Calculations'!$C$24-'Mass Ion Calculations'!$C16)/2-'Mass Ion Calculations'!$D$5,('Mass Ion Calculations'!$F$18+'AA Exact Masses'!$Q$3+'AA Exact Masses'!$Q$2-'Mass Ion Calculations'!$E$24-'Mass Ion Calculations'!$E17)/2-'Mass Ion Calculations'!$D$5),IF('Mass Ion Calculations'!$D$7="Yes", ('Mass Ion Calculations'!$D$15+'AA Exact Masses'!$Q$3+'AA Exact Masses'!$Q$2-'Mass Ion Calculations'!$C$24-'Mass Ion Calculations'!$C16)/2-'Mass Ion Calculations'!$D$5,('Mass Ion Calculations'!$F$15+'AA Exact Masses'!$Q$3+'AA Exact Masses'!$Q$2-'Mass Ion Calculations'!$E$24-'Mass Ion Calculations'!$E17)/2-'Mass Ion Calculations'!$D$5)))</f>
        <v/>
      </c>
      <c r="W15" s="3" t="str">
        <f>IF(OR($B15="",W$3=""),"",IF('Mass Ion Calculations'!$D$6="Yes",IF('Mass Ion Calculations'!$D$7="Yes",('Mass Ion Calculations'!$D$18+'AA Exact Masses'!$Q$3+'AA Exact Masses'!$Q$2-'Mass Ion Calculations'!$C$25-'Mass Ion Calculations'!$C16)/2-'Mass Ion Calculations'!$D$5,('Mass Ion Calculations'!$F$18+'AA Exact Masses'!$Q$3+'AA Exact Masses'!$Q$2-'Mass Ion Calculations'!$E$25-'Mass Ion Calculations'!$E17)/2-'Mass Ion Calculations'!$D$5),IF('Mass Ion Calculations'!$D$7="Yes", ('Mass Ion Calculations'!$D$15+'AA Exact Masses'!$Q$3+'AA Exact Masses'!$Q$2-'Mass Ion Calculations'!$C$25-'Mass Ion Calculations'!$C16)/2-'Mass Ion Calculations'!$D$5,('Mass Ion Calculations'!$F$15+'AA Exact Masses'!$Q$3+'AA Exact Masses'!$Q$2-'Mass Ion Calculations'!$E$25-'Mass Ion Calculations'!$E17)/2-'Mass Ion Calculations'!$D$5)))</f>
        <v/>
      </c>
      <c r="X15" s="3" t="str">
        <f>IF(OR($B15="",X$3=""),"",IF('Mass Ion Calculations'!$D$6="Yes",IF('Mass Ion Calculations'!$D$7="Yes",('Mass Ion Calculations'!$D$18+'AA Exact Masses'!$Q$3+'AA Exact Masses'!$Q$2-'Mass Ion Calculations'!$C$26-'Mass Ion Calculations'!$C16)/2-'Mass Ion Calculations'!$D$5,('Mass Ion Calculations'!$F$18+'AA Exact Masses'!$Q$3+'AA Exact Masses'!$Q$2-'Mass Ion Calculations'!$E$26-'Mass Ion Calculations'!$E17)/2-'Mass Ion Calculations'!$D$5),IF('Mass Ion Calculations'!$D$7="Yes", ('Mass Ion Calculations'!$D$15+'AA Exact Masses'!$Q$3+'AA Exact Masses'!$Q$2-'Mass Ion Calculations'!$C$26-'Mass Ion Calculations'!$C16)/2-'Mass Ion Calculations'!$D$5,('Mass Ion Calculations'!$F$15+'AA Exact Masses'!$Q$3+'AA Exact Masses'!$Q$2-'Mass Ion Calculations'!$E$26-'Mass Ion Calculations'!$E17)/2-'Mass Ion Calculations'!$D$5)))</f>
        <v/>
      </c>
      <c r="Y15" s="3" t="str">
        <f>IF(OR($B15="",Y$3=""),"",IF('Mass Ion Calculations'!$D$6="Yes",IF('Mass Ion Calculations'!$D$7="Yes",('Mass Ion Calculations'!$D$18+'AA Exact Masses'!$Q$3+'AA Exact Masses'!$Q$2-'Mass Ion Calculations'!$C$27-'Mass Ion Calculations'!$C16)/2-'Mass Ion Calculations'!$D$5,('Mass Ion Calculations'!$F$18+'AA Exact Masses'!$Q$3+'AA Exact Masses'!$Q$2-'Mass Ion Calculations'!$E$27-'Mass Ion Calculations'!$E17)/2-'Mass Ion Calculations'!$D$5),IF('Mass Ion Calculations'!$D$7="Yes", ('Mass Ion Calculations'!$D$15+'AA Exact Masses'!$Q$3+'AA Exact Masses'!$Q$2-'Mass Ion Calculations'!$C$27-'Mass Ion Calculations'!$C16)/2-'Mass Ion Calculations'!$D$5,('Mass Ion Calculations'!$F$15+'AA Exact Masses'!$Q$3+'AA Exact Masses'!$Q$2-'Mass Ion Calculations'!$E$27-'Mass Ion Calculations'!$E17)/2-'Mass Ion Calculations'!$D$5)))</f>
        <v/>
      </c>
      <c r="Z15" s="3" t="str">
        <f>IF(OR($B15="",Z$3=""),"",IF('Mass Ion Calculations'!$D$6="Yes",IF('Mass Ion Calculations'!$D$7="Yes",('Mass Ion Calculations'!$D$18+'AA Exact Masses'!$Q$3+'AA Exact Masses'!$Q$2-'Mass Ion Calculations'!$C$28-'Mass Ion Calculations'!$C16)/2-'Mass Ion Calculations'!$D$5,('Mass Ion Calculations'!$F$18+'AA Exact Masses'!$Q$3+'AA Exact Masses'!$Q$2-'Mass Ion Calculations'!$E$28-'Mass Ion Calculations'!$E17)/2-'Mass Ion Calculations'!$D$5),IF('Mass Ion Calculations'!$D$7="Yes", ('Mass Ion Calculations'!$D$15+'AA Exact Masses'!$Q$3+'AA Exact Masses'!$Q$2-'Mass Ion Calculations'!$C$28-'Mass Ion Calculations'!$C16)/2-'Mass Ion Calculations'!$D$5,('Mass Ion Calculations'!$F$15+'AA Exact Masses'!$Q$3+'AA Exact Masses'!$Q$2-'Mass Ion Calculations'!$E$28-'Mass Ion Calculations'!$E17)/2-'Mass Ion Calculations'!$D$5)))</f>
        <v/>
      </c>
    </row>
    <row r="16" spans="2:26" x14ac:dyDescent="0.25">
      <c r="B16" s="4" t="str">
        <f>IF('Mass Ion Calculations'!B17="","", 'Mass Ion Calculations'!B17)</f>
        <v>Phe</v>
      </c>
      <c r="C16" s="3">
        <f>IF(OR($B16="",C$3=""),"",IF('Mass Ion Calculations'!$D$6="Yes",IF('Mass Ion Calculations'!$D$7="Yes",('Mass Ion Calculations'!$D$18+'AA Exact Masses'!$Q$3+'AA Exact Masses'!$Q$2-'Mass Ion Calculations'!$C$5-'Mass Ion Calculations'!$C17)/2-'Mass Ion Calculations'!$D$5,('Mass Ion Calculations'!$F$18+'AA Exact Masses'!$Q$3+'AA Exact Masses'!$Q$2-'Mass Ion Calculations'!$E$5-'Mass Ion Calculations'!$E17)/2-'Mass Ion Calculations'!$D$5),IF('Mass Ion Calculations'!$D$7="Yes", ('Mass Ion Calculations'!$D$15+'AA Exact Masses'!$Q$3+'AA Exact Masses'!$Q$2-'Mass Ion Calculations'!$C$5-'Mass Ion Calculations'!$C17)/2-'Mass Ion Calculations'!$D$5,('Mass Ion Calculations'!$F$15+'AA Exact Masses'!$Q$3+'AA Exact Masses'!$Q$2-'Mass Ion Calculations'!$E$5-'Mass Ion Calculations'!$E17)/2-'Mass Ion Calculations'!$D$5)))</f>
        <v>-430.61238000000003</v>
      </c>
      <c r="D16" s="3">
        <f>IF(OR($B16="",D$3=""),"",IF('Mass Ion Calculations'!$D$6="Yes",IF('Mass Ion Calculations'!$D$7="Yes",('Mass Ion Calculations'!$D$18+'AA Exact Masses'!$Q$3+'AA Exact Masses'!$Q$2-'Mass Ion Calculations'!$C$6-'Mass Ion Calculations'!$C17)/2-'Mass Ion Calculations'!$D$5,('Mass Ion Calculations'!$F$18+'AA Exact Masses'!$Q$3+'AA Exact Masses'!$Q$2-'Mass Ion Calculations'!$E$6-'Mass Ion Calculations'!$E17)/2-'Mass Ion Calculations'!$D$5),IF('Mass Ion Calculations'!$D$7="Yes", ('Mass Ion Calculations'!$D$15+'AA Exact Masses'!$Q$3+'AA Exact Masses'!$Q$2-'Mass Ion Calculations'!$C$6-'Mass Ion Calculations'!$C17)/2-'Mass Ion Calculations'!$D$5,('Mass Ion Calculations'!$F$15+'AA Exact Masses'!$Q$3+'AA Exact Masses'!$Q$2-'Mass Ion Calculations'!$E$6-'Mass Ion Calculations'!$E17)/2-'Mass Ion Calculations'!$D$5)))</f>
        <v>-409.091275</v>
      </c>
      <c r="E16" s="3">
        <f>IF(OR($B16="",E$3=""),"",IF('Mass Ion Calculations'!$D$6="Yes",IF('Mass Ion Calculations'!$D$7="Yes",('Mass Ion Calculations'!$D$18+'AA Exact Masses'!$Q$3+'AA Exact Masses'!$Q$2-'Mass Ion Calculations'!$C$7-'Mass Ion Calculations'!$C17)/2-'Mass Ion Calculations'!$D$5,('Mass Ion Calculations'!$F$18+'AA Exact Masses'!$Q$3+'AA Exact Masses'!$Q$2-'Mass Ion Calculations'!$E$7-'Mass Ion Calculations'!$E17)/2-'Mass Ion Calculations'!$D$5),IF('Mass Ion Calculations'!$D$7="Yes", ('Mass Ion Calculations'!$D$15+'AA Exact Masses'!$Q$3+'AA Exact Masses'!$Q$2-'Mass Ion Calculations'!$C$7-'Mass Ion Calculations'!$C17)/2-'Mass Ion Calculations'!$D$5,('Mass Ion Calculations'!$F$15+'AA Exact Masses'!$Q$3+'AA Exact Masses'!$Q$2-'Mass Ion Calculations'!$E$7-'Mass Ion Calculations'!$E17)/2-'Mass Ion Calculations'!$D$5)))</f>
        <v>-430.11474999999996</v>
      </c>
      <c r="F16" s="3">
        <f>IF(OR($B16="",F$3=""),"",IF('Mass Ion Calculations'!$D$6="Yes",IF('Mass Ion Calculations'!$D$7="Yes",('Mass Ion Calculations'!$D$18+'AA Exact Masses'!$Q$3+'AA Exact Masses'!$Q$2-'Mass Ion Calculations'!$C$8-'Mass Ion Calculations'!$C17)/2-'Mass Ion Calculations'!$D$5,('Mass Ion Calculations'!$F$18+'AA Exact Masses'!$Q$3+'AA Exact Masses'!$Q$2-'Mass Ion Calculations'!$E$8-'Mass Ion Calculations'!$E17)/2-'Mass Ion Calculations'!$D$5),IF('Mass Ion Calculations'!$D$7="Yes", ('Mass Ion Calculations'!$D$15+'AA Exact Masses'!$Q$3+'AA Exact Masses'!$Q$2-'Mass Ion Calculations'!$C$8-'Mass Ion Calculations'!$C17)/2-'Mass Ion Calculations'!$D$5,('Mass Ion Calculations'!$F$15+'AA Exact Masses'!$Q$3+'AA Exact Masses'!$Q$2-'Mass Ion Calculations'!$E$8-'Mass Ion Calculations'!$E17)/2-'Mass Ion Calculations'!$D$5)))</f>
        <v>-430.11474999999996</v>
      </c>
      <c r="G16" s="3">
        <f>IF(OR($B16="",G$3=""),"",IF('Mass Ion Calculations'!$D$6="Yes",IF('Mass Ion Calculations'!$D$7="Yes",('Mass Ion Calculations'!$D$18+'AA Exact Masses'!$Q$3+'AA Exact Masses'!$Q$2-'Mass Ion Calculations'!$C$9-'Mass Ion Calculations'!$C17)/2-'Mass Ion Calculations'!$D$5,('Mass Ion Calculations'!$F$18+'AA Exact Masses'!$Q$3+'AA Exact Masses'!$Q$2-'Mass Ion Calculations'!$E$9-'Mass Ion Calculations'!$E17)/2-'Mass Ion Calculations'!$D$5),IF('Mass Ion Calculations'!$D$7="Yes", ('Mass Ion Calculations'!$D$15+'AA Exact Masses'!$Q$3+'AA Exact Masses'!$Q$2-'Mass Ion Calculations'!$C$9-'Mass Ion Calculations'!$C17)/2-'Mass Ion Calculations'!$D$5,('Mass Ion Calculations'!$F$15+'AA Exact Masses'!$Q$3+'AA Exact Masses'!$Q$2-'Mass Ion Calculations'!$E$9-'Mass Ion Calculations'!$E17)/2-'Mass Ion Calculations'!$D$5)))</f>
        <v>-409.091275</v>
      </c>
      <c r="H16" s="3">
        <f>IF(OR($B16="",H$3=""),"",IF('Mass Ion Calculations'!$D$6="Yes",IF('Mass Ion Calculations'!$D$7="Yes",('Mass Ion Calculations'!$D$18+'AA Exact Masses'!$Q$3+'AA Exact Masses'!$Q$2-'Mass Ion Calculations'!$C$10-'Mass Ion Calculations'!$C17)/2-'Mass Ion Calculations'!$D$5,('Mass Ion Calculations'!$F$18+'AA Exact Masses'!$Q$3+'AA Exact Masses'!$Q$2-'Mass Ion Calculations'!$E$10-'Mass Ion Calculations'!$E17)/2-'Mass Ion Calculations'!$D$5),IF('Mass Ion Calculations'!$D$7="Yes", ('Mass Ion Calculations'!$D$15+'AA Exact Masses'!$Q$3+'AA Exact Masses'!$Q$2-'Mass Ion Calculations'!$C$10-'Mass Ion Calculations'!$C17)/2-'Mass Ion Calculations'!$D$5,('Mass Ion Calculations'!$F$15+'AA Exact Masses'!$Q$3+'AA Exact Masses'!$Q$2-'Mass Ion Calculations'!$E$10-'Mass Ion Calculations'!$E17)/2-'Mass Ion Calculations'!$D$5)))</f>
        <v>-430.11474999999996</v>
      </c>
      <c r="I16" s="3">
        <f>IF(OR($B16="",I$3=""),"",IF('Mass Ion Calculations'!$D$6="Yes",IF('Mass Ion Calculations'!$D$7="Yes",('Mass Ion Calculations'!$D$18+'AA Exact Masses'!$Q$3+'AA Exact Masses'!$Q$2-'Mass Ion Calculations'!$C$11-'Mass Ion Calculations'!$C17)/2-'Mass Ion Calculations'!$D$5,('Mass Ion Calculations'!$F$18+'AA Exact Masses'!$Q$3+'AA Exact Masses'!$Q$2-'Mass Ion Calculations'!$E$11-'Mass Ion Calculations'!$E17)/2-'Mass Ion Calculations'!$D$5),IF('Mass Ion Calculations'!$D$7="Yes", ('Mass Ion Calculations'!$D$15+'AA Exact Masses'!$Q$3+'AA Exact Masses'!$Q$2-'Mass Ion Calculations'!$C$11-'Mass Ion Calculations'!$C17)/2-'Mass Ion Calculations'!$D$5,('Mass Ion Calculations'!$F$15+'AA Exact Masses'!$Q$3+'AA Exact Masses'!$Q$2-'Mass Ion Calculations'!$E$11-'Mass Ion Calculations'!$E17)/2-'Mass Ion Calculations'!$D$5)))</f>
        <v>-430.61238000000003</v>
      </c>
      <c r="J16" s="3">
        <f>IF(OR($B16="",J$3=""),"",IF('Mass Ion Calculations'!$D$6="Yes",IF('Mass Ion Calculations'!$D$7="Yes",('Mass Ion Calculations'!$D$18+'AA Exact Masses'!$Q$3+'AA Exact Masses'!$Q$2-'Mass Ion Calculations'!$C$12-'Mass Ion Calculations'!$C17)/2-'Mass Ion Calculations'!$D$5,('Mass Ion Calculations'!$F$18+'AA Exact Masses'!$Q$3+'AA Exact Masses'!$Q$2-'Mass Ion Calculations'!$E$12-'Mass Ion Calculations'!$E17)/2-'Mass Ion Calculations'!$D$5),IF('Mass Ion Calculations'!$D$7="Yes", ('Mass Ion Calculations'!$D$15+'AA Exact Masses'!$Q$3+'AA Exact Masses'!$Q$2-'Mass Ion Calculations'!$C$12-'Mass Ion Calculations'!$C17)/2-'Mass Ion Calculations'!$D$5,('Mass Ion Calculations'!$F$15+'AA Exact Masses'!$Q$3+'AA Exact Masses'!$Q$2-'Mass Ion Calculations'!$E$12-'Mass Ion Calculations'!$E17)/2-'Mass Ion Calculations'!$D$5)))</f>
        <v>-423.10692500000005</v>
      </c>
      <c r="K16" s="3">
        <f>IF(OR($B16="",K$3=""),"",IF('Mass Ion Calculations'!$D$6="Yes",IF('Mass Ion Calculations'!$D$7="Yes",('Mass Ion Calculations'!$D$18+'AA Exact Masses'!$Q$3+'AA Exact Masses'!$Q$2-'Mass Ion Calculations'!$C$13-'Mass Ion Calculations'!$C17)/2-'Mass Ion Calculations'!$D$5,('Mass Ion Calculations'!$F$18+'AA Exact Masses'!$Q$3+'AA Exact Masses'!$Q$2-'Mass Ion Calculations'!$E$14-'Mass Ion Calculations'!$E17)/2-'Mass Ion Calculations'!$D$5),IF('Mass Ion Calculations'!$D$7="Yes", ('Mass Ion Calculations'!$D$15+'AA Exact Masses'!$Q$3+'AA Exact Masses'!$Q$2-'Mass Ion Calculations'!$C$13-'Mass Ion Calculations'!$C17)/2-'Mass Ion Calculations'!$D$5,('Mass Ion Calculations'!$F$15+'AA Exact Masses'!$Q$3+'AA Exact Masses'!$Q$2-'Mass Ion Calculations'!$E$14-'Mass Ion Calculations'!$E17)/2-'Mass Ion Calculations'!$D$5)))</f>
        <v>-438.09401500000001</v>
      </c>
      <c r="L16" s="3">
        <f>IF(OR($B16="",L$3=""),"",IF('Mass Ion Calculations'!$D$6="Yes",IF('Mass Ion Calculations'!$D$7="Yes",('Mass Ion Calculations'!$D$18+'AA Exact Masses'!$Q$3+'AA Exact Masses'!$Q$2-'Mass Ion Calculations'!$C$14-'Mass Ion Calculations'!$C17)/2-'Mass Ion Calculations'!$D$5,('Mass Ion Calculations'!$F$18+'AA Exact Masses'!$Q$3+'AA Exact Masses'!$Q$2-'Mass Ion Calculations'!$E$15-'Mass Ion Calculations'!$E17)/2-'Mass Ion Calculations'!$D$5),IF('Mass Ion Calculations'!$D$7="Yes", ('Mass Ion Calculations'!$D$15+'AA Exact Masses'!$Q$3+'AA Exact Masses'!$Q$2-'Mass Ion Calculations'!$C$14-'Mass Ion Calculations'!$C17)/2-'Mass Ion Calculations'!$D$5,('Mass Ion Calculations'!$F$15+'AA Exact Masses'!$Q$3+'AA Exact Masses'!$Q$2-'Mass Ion Calculations'!$E$15-'Mass Ion Calculations'!$E17)/2-'Mass Ion Calculations'!$D$5)))</f>
        <v>-431.08618999999999</v>
      </c>
      <c r="M16" s="3">
        <f>IF(OR($B16="",M$3=""),"",IF('Mass Ion Calculations'!$D$6="Yes",IF('Mass Ion Calculations'!$D$7="Yes",('Mass Ion Calculations'!$D$18+'AA Exact Masses'!$Q$3+'AA Exact Masses'!$Q$2-'Mass Ion Calculations'!$C$15-'Mass Ion Calculations'!$C17)/2-'Mass Ion Calculations'!$D$5,('Mass Ion Calculations'!$F$18+'AA Exact Masses'!$Q$3+'AA Exact Masses'!$Q$2-'Mass Ion Calculations'!$E$16-'Mass Ion Calculations'!$E17)/2-'Mass Ion Calculations'!$D$5),IF('Mass Ion Calculations'!$D$7="Yes", ('Mass Ion Calculations'!$D$15+'AA Exact Masses'!$Q$3+'AA Exact Masses'!$Q$2-'Mass Ion Calculations'!$C$15-'Mass Ion Calculations'!$C17)/2-'Mass Ion Calculations'!$D$5,('Mass Ion Calculations'!$F$15+'AA Exact Masses'!$Q$3+'AA Exact Masses'!$Q$2-'Mass Ion Calculations'!$E$16-'Mass Ion Calculations'!$E17)/2-'Mass Ion Calculations'!$D$5)))</f>
        <v>-409.091275</v>
      </c>
      <c r="N16" s="3">
        <f>IF(OR($B16="",N$3=""),"",IF('Mass Ion Calculations'!$D$6="Yes",IF('Mass Ion Calculations'!$D$7="Yes",('Mass Ion Calculations'!$D$18+'AA Exact Masses'!$Q$3+'AA Exact Masses'!$Q$2-'Mass Ion Calculations'!$C$16-'Mass Ion Calculations'!$C17)/2-'Mass Ion Calculations'!$D$5,('Mass Ion Calculations'!$F$18+'AA Exact Masses'!$Q$3+'AA Exact Masses'!$Q$2-'Mass Ion Calculations'!$E$17-'Mass Ion Calculations'!$E17)/2-'Mass Ion Calculations'!$D$5),IF('Mass Ion Calculations'!$D$7="Yes", ('Mass Ion Calculations'!$D$15+'AA Exact Masses'!$Q$3+'AA Exact Masses'!$Q$2-'Mass Ion Calculations'!$C$16-'Mass Ion Calculations'!$C17)/2-'Mass Ion Calculations'!$D$5,('Mass Ion Calculations'!$F$15+'AA Exact Masses'!$Q$3+'AA Exact Masses'!$Q$2-'Mass Ion Calculations'!$E$17-'Mass Ion Calculations'!$E17)/2-'Mass Ion Calculations'!$D$5)))</f>
        <v>-447.10692500000005</v>
      </c>
      <c r="O16" s="3">
        <f>IF(OR($B16="",O$3=""),"",IF('Mass Ion Calculations'!$D$6="Yes",IF('Mass Ion Calculations'!$D$7="Yes",('Mass Ion Calculations'!$D$18+'AA Exact Masses'!$Q$3+'AA Exact Masses'!$Q$2-'Mass Ion Calculations'!$C$17-'Mass Ion Calculations'!$C17)/2-'Mass Ion Calculations'!$D$5,('Mass Ion Calculations'!$F$18+'AA Exact Masses'!$Q$3+'AA Exact Masses'!$Q$2-'Mass Ion Calculations'!$E$18-'Mass Ion Calculations'!$E17)/2-'Mass Ion Calculations'!$D$5),IF('Mass Ion Calculations'!$D$7="Yes", ('Mass Ion Calculations'!$D$15+'AA Exact Masses'!$Q$3+'AA Exact Masses'!$Q$2-'Mass Ion Calculations'!$C$17-'Mass Ion Calculations'!$C17)/2-'Mass Ion Calculations'!$D$5,('Mass Ion Calculations'!$F$15+'AA Exact Masses'!$Q$3+'AA Exact Masses'!$Q$2-'Mass Ion Calculations'!$E$18-'Mass Ion Calculations'!$E17)/2-'Mass Ion Calculations'!$D$5)))</f>
        <v>-510.05525</v>
      </c>
      <c r="P16" s="3">
        <f>IF(OR($B16="",P$3=""),"",IF('Mass Ion Calculations'!$D$6="Yes",IF('Mass Ion Calculations'!$D$7="Yes",('Mass Ion Calculations'!$D$18+'AA Exact Masses'!$Q$3+'AA Exact Masses'!$Q$2-'Mass Ion Calculations'!$C$19-'Mass Ion Calculations'!$C17)/2-'Mass Ion Calculations'!$D$5,('Mass Ion Calculations'!$F$18+'AA Exact Masses'!$Q$3+'AA Exact Masses'!$Q$2-'Mass Ion Calculations'!$E$19-'Mass Ion Calculations'!$E17)/2-'Mass Ion Calculations'!$D$5),IF('Mass Ion Calculations'!$D$7="Yes", ('Mass Ion Calculations'!$D$15+'AA Exact Masses'!$Q$3+'AA Exact Masses'!$Q$2-'Mass Ion Calculations'!$C$19-'Mass Ion Calculations'!$C17)/2-'Mass Ion Calculations'!$D$5,('Mass Ion Calculations'!$F$15+'AA Exact Masses'!$Q$3+'AA Exact Masses'!$Q$2-'Mass Ion Calculations'!$E$19-'Mass Ion Calculations'!$E17)/2-'Mass Ion Calculations'!$D$5)))</f>
        <v>-423.10692500000005</v>
      </c>
      <c r="Q16" s="3">
        <f>IF(OR($B16="",Q$3=""),"",IF('Mass Ion Calculations'!$D$6="Yes",IF('Mass Ion Calculations'!$D$7="Yes",('Mass Ion Calculations'!$D$18+'AA Exact Masses'!$Q$3+'AA Exact Masses'!$Q$2-'Mass Ion Calculations'!$C$20-'Mass Ion Calculations'!$C17)/2-'Mass Ion Calculations'!$D$5,('Mass Ion Calculations'!$F$18+'AA Exact Masses'!$Q$3+'AA Exact Masses'!$Q$2-'Mass Ion Calculations'!$E$20-'Mass Ion Calculations'!$E17)/2-'Mass Ion Calculations'!$D$5),IF('Mass Ion Calculations'!$D$7="Yes", ('Mass Ion Calculations'!$D$15+'AA Exact Masses'!$Q$3+'AA Exact Masses'!$Q$2-'Mass Ion Calculations'!$C$20-'Mass Ion Calculations'!$C17)/2-'Mass Ion Calculations'!$D$5,('Mass Ion Calculations'!$F$15+'AA Exact Masses'!$Q$3+'AA Exact Masses'!$Q$2-'Mass Ion Calculations'!$E$20-'Mass Ion Calculations'!$E17)/2-'Mass Ion Calculations'!$D$5)))</f>
        <v>-430.11474999999996</v>
      </c>
      <c r="R16" s="3" t="e">
        <f>IF(OR($B16="",R$3=""),"",IF('Mass Ion Calculations'!$D$6="Yes",IF('Mass Ion Calculations'!$D$7="Yes",('Mass Ion Calculations'!$D$18+'AA Exact Masses'!$Q$3+'AA Exact Masses'!$Q$2-'Mass Ion Calculations'!$C$21-'Mass Ion Calculations'!$C17)/2-'Mass Ion Calculations'!$D$5,('Mass Ion Calculations'!$F$18+'AA Exact Masses'!$Q$3+'AA Exact Masses'!$Q$2-'Mass Ion Calculations'!$E$21-'Mass Ion Calculations'!$E17)/2-'Mass Ion Calculations'!$D$5),IF('Mass Ion Calculations'!$D$7="Yes", ('Mass Ion Calculations'!$D$15+'AA Exact Masses'!$Q$3+'AA Exact Masses'!$Q$2-'Mass Ion Calculations'!$C$21-'Mass Ion Calculations'!$C17)/2-'Mass Ion Calculations'!$D$5,('Mass Ion Calculations'!$F$15+'AA Exact Masses'!$Q$3+'AA Exact Masses'!$Q$2-'Mass Ion Calculations'!$E$21-'Mass Ion Calculations'!$E17)/2-'Mass Ion Calculations'!$D$5)))</f>
        <v>#VALUE!</v>
      </c>
      <c r="S16" s="3" t="str">
        <f>IF(OR($B16="",S$3=""),"",IF('Mass Ion Calculations'!$D$6="Yes",IF('Mass Ion Calculations'!$D$7="Yes",('Mass Ion Calculations'!$D$18+'AA Exact Masses'!$Q$3+'AA Exact Masses'!$Q$2-'Mass Ion Calculations'!$C$22-'Mass Ion Calculations'!$C17)/2-'Mass Ion Calculations'!$D$5,('Mass Ion Calculations'!$F$18+'AA Exact Masses'!$Q$3+'AA Exact Masses'!$Q$2-'Mass Ion Calculations'!$E$22-'Mass Ion Calculations'!$E17)/2-'Mass Ion Calculations'!$D$5),IF('Mass Ion Calculations'!$D$7="Yes", ('Mass Ion Calculations'!$D$15+'AA Exact Masses'!$Q$3+'AA Exact Masses'!$Q$2-'Mass Ion Calculations'!$C$22-'Mass Ion Calculations'!$C17)/2-'Mass Ion Calculations'!$D$5,('Mass Ion Calculations'!$F$15+'AA Exact Masses'!$Q$3+'AA Exact Masses'!$Q$2-'Mass Ion Calculations'!$E$22-'Mass Ion Calculations'!$E17)/2-'Mass Ion Calculations'!$D$5)))</f>
        <v/>
      </c>
      <c r="T16" s="3" t="e">
        <f>IF(OR($B16="",T$3=""),"",IF('Mass Ion Calculations'!$D$6="Yes",IF('Mass Ion Calculations'!$D$7="Yes",('Mass Ion Calculations'!$D$18+'AA Exact Masses'!$Q$3+'AA Exact Masses'!$Q$2-'Mass Ion Calculations'!$C$22-'Mass Ion Calculations'!$C17)/2-'Mass Ion Calculations'!$D$5,('Mass Ion Calculations'!$F$18+'AA Exact Masses'!$Q$3+'AA Exact Masses'!$Q$2-'Mass Ion Calculations'!$E$22-'Mass Ion Calculations'!$E18)/2-'Mass Ion Calculations'!$D$5),IF('Mass Ion Calculations'!$D$7="Yes", ('Mass Ion Calculations'!$D$15+'AA Exact Masses'!$Q$3+'AA Exact Masses'!$Q$2-'Mass Ion Calculations'!$C$22-'Mass Ion Calculations'!$C17)/2-'Mass Ion Calculations'!$D$5,('Mass Ion Calculations'!$F$15+'AA Exact Masses'!$Q$3+'AA Exact Masses'!$Q$2-'Mass Ion Calculations'!$E$22-'Mass Ion Calculations'!$E18)/2-'Mass Ion Calculations'!$D$5)))</f>
        <v>#VALUE!</v>
      </c>
      <c r="U16" s="3" t="e">
        <f>IF(OR($B16="",U$3=""),"",IF('Mass Ion Calculations'!$D$6="Yes",IF('Mass Ion Calculations'!$D$7="Yes",('Mass Ion Calculations'!$D$18+'AA Exact Masses'!$Q$3+'AA Exact Masses'!$Q$2-'Mass Ion Calculations'!$C$23-'Mass Ion Calculations'!$C17)/2-'Mass Ion Calculations'!$D$5,('Mass Ion Calculations'!$F$18+'AA Exact Masses'!$Q$3+'AA Exact Masses'!$Q$2-'Mass Ion Calculations'!$E$23-'Mass Ion Calculations'!$E18)/2-'Mass Ion Calculations'!$D$5),IF('Mass Ion Calculations'!$D$7="Yes", ('Mass Ion Calculations'!$D$15+'AA Exact Masses'!$Q$3+'AA Exact Masses'!$Q$2-'Mass Ion Calculations'!$C$23-'Mass Ion Calculations'!$C17)/2-'Mass Ion Calculations'!$D$5,('Mass Ion Calculations'!$F$15+'AA Exact Masses'!$Q$3+'AA Exact Masses'!$Q$2-'Mass Ion Calculations'!$E$23-'Mass Ion Calculations'!$E18)/2-'Mass Ion Calculations'!$D$5)))</f>
        <v>#VALUE!</v>
      </c>
      <c r="V16" s="3" t="str">
        <f>IF(OR($B16="",V$3=""),"",IF('Mass Ion Calculations'!$D$6="Yes",IF('Mass Ion Calculations'!$D$7="Yes",('Mass Ion Calculations'!$D$18+'AA Exact Masses'!$Q$3+'AA Exact Masses'!$Q$2-'Mass Ion Calculations'!$C$24-'Mass Ion Calculations'!$C17)/2-'Mass Ion Calculations'!$D$5,('Mass Ion Calculations'!$F$18+'AA Exact Masses'!$Q$3+'AA Exact Masses'!$Q$2-'Mass Ion Calculations'!$E$24-'Mass Ion Calculations'!$E18)/2-'Mass Ion Calculations'!$D$5),IF('Mass Ion Calculations'!$D$7="Yes", ('Mass Ion Calculations'!$D$15+'AA Exact Masses'!$Q$3+'AA Exact Masses'!$Q$2-'Mass Ion Calculations'!$C$24-'Mass Ion Calculations'!$C17)/2-'Mass Ion Calculations'!$D$5,('Mass Ion Calculations'!$F$15+'AA Exact Masses'!$Q$3+'AA Exact Masses'!$Q$2-'Mass Ion Calculations'!$E$24-'Mass Ion Calculations'!$E18)/2-'Mass Ion Calculations'!$D$5)))</f>
        <v/>
      </c>
      <c r="W16" s="3" t="str">
        <f>IF(OR($B16="",W$3=""),"",IF('Mass Ion Calculations'!$D$6="Yes",IF('Mass Ion Calculations'!$D$7="Yes",('Mass Ion Calculations'!$D$18+'AA Exact Masses'!$Q$3+'AA Exact Masses'!$Q$2-'Mass Ion Calculations'!$C$25-'Mass Ion Calculations'!$C17)/2-'Mass Ion Calculations'!$D$5,('Mass Ion Calculations'!$F$18+'AA Exact Masses'!$Q$3+'AA Exact Masses'!$Q$2-'Mass Ion Calculations'!$E$25-'Mass Ion Calculations'!$E18)/2-'Mass Ion Calculations'!$D$5),IF('Mass Ion Calculations'!$D$7="Yes", ('Mass Ion Calculations'!$D$15+'AA Exact Masses'!$Q$3+'AA Exact Masses'!$Q$2-'Mass Ion Calculations'!$C$25-'Mass Ion Calculations'!$C17)/2-'Mass Ion Calculations'!$D$5,('Mass Ion Calculations'!$F$15+'AA Exact Masses'!$Q$3+'AA Exact Masses'!$Q$2-'Mass Ion Calculations'!$E$25-'Mass Ion Calculations'!$E18)/2-'Mass Ion Calculations'!$D$5)))</f>
        <v/>
      </c>
      <c r="X16" s="3" t="str">
        <f>IF(OR($B16="",X$3=""),"",IF('Mass Ion Calculations'!$D$6="Yes",IF('Mass Ion Calculations'!$D$7="Yes",('Mass Ion Calculations'!$D$18+'AA Exact Masses'!$Q$3+'AA Exact Masses'!$Q$2-'Mass Ion Calculations'!$C$26-'Mass Ion Calculations'!$C17)/2-'Mass Ion Calculations'!$D$5,('Mass Ion Calculations'!$F$18+'AA Exact Masses'!$Q$3+'AA Exact Masses'!$Q$2-'Mass Ion Calculations'!$E$26-'Mass Ion Calculations'!$E18)/2-'Mass Ion Calculations'!$D$5),IF('Mass Ion Calculations'!$D$7="Yes", ('Mass Ion Calculations'!$D$15+'AA Exact Masses'!$Q$3+'AA Exact Masses'!$Q$2-'Mass Ion Calculations'!$C$26-'Mass Ion Calculations'!$C17)/2-'Mass Ion Calculations'!$D$5,('Mass Ion Calculations'!$F$15+'AA Exact Masses'!$Q$3+'AA Exact Masses'!$Q$2-'Mass Ion Calculations'!$E$26-'Mass Ion Calculations'!$E18)/2-'Mass Ion Calculations'!$D$5)))</f>
        <v/>
      </c>
      <c r="Y16" s="3" t="str">
        <f>IF(OR($B16="",Y$3=""),"",IF('Mass Ion Calculations'!$D$6="Yes",IF('Mass Ion Calculations'!$D$7="Yes",('Mass Ion Calculations'!$D$18+'AA Exact Masses'!$Q$3+'AA Exact Masses'!$Q$2-'Mass Ion Calculations'!$C$27-'Mass Ion Calculations'!$C17)/2-'Mass Ion Calculations'!$D$5,('Mass Ion Calculations'!$F$18+'AA Exact Masses'!$Q$3+'AA Exact Masses'!$Q$2-'Mass Ion Calculations'!$E$27-'Mass Ion Calculations'!$E18)/2-'Mass Ion Calculations'!$D$5),IF('Mass Ion Calculations'!$D$7="Yes", ('Mass Ion Calculations'!$D$15+'AA Exact Masses'!$Q$3+'AA Exact Masses'!$Q$2-'Mass Ion Calculations'!$C$27-'Mass Ion Calculations'!$C17)/2-'Mass Ion Calculations'!$D$5,('Mass Ion Calculations'!$F$15+'AA Exact Masses'!$Q$3+'AA Exact Masses'!$Q$2-'Mass Ion Calculations'!$E$27-'Mass Ion Calculations'!$E18)/2-'Mass Ion Calculations'!$D$5)))</f>
        <v/>
      </c>
      <c r="Z16" s="3" t="str">
        <f>IF(OR($B16="",Z$3=""),"",IF('Mass Ion Calculations'!$D$6="Yes",IF('Mass Ion Calculations'!$D$7="Yes",('Mass Ion Calculations'!$D$18+'AA Exact Masses'!$Q$3+'AA Exact Masses'!$Q$2-'Mass Ion Calculations'!$C$28-'Mass Ion Calculations'!$C17)/2-'Mass Ion Calculations'!$D$5,('Mass Ion Calculations'!$F$18+'AA Exact Masses'!$Q$3+'AA Exact Masses'!$Q$2-'Mass Ion Calculations'!$E$28-'Mass Ion Calculations'!$E18)/2-'Mass Ion Calculations'!$D$5),IF('Mass Ion Calculations'!$D$7="Yes", ('Mass Ion Calculations'!$D$15+'AA Exact Masses'!$Q$3+'AA Exact Masses'!$Q$2-'Mass Ion Calculations'!$C$28-'Mass Ion Calculations'!$C17)/2-'Mass Ion Calculations'!$D$5,('Mass Ion Calculations'!$F$15+'AA Exact Masses'!$Q$3+'AA Exact Masses'!$Q$2-'Mass Ion Calculations'!$E$28-'Mass Ion Calculations'!$E18)/2-'Mass Ion Calculations'!$D$5)))</f>
        <v/>
      </c>
    </row>
    <row r="17" spans="2:26" x14ac:dyDescent="0.25">
      <c r="B17" s="4" t="str">
        <f>IF('Mass Ion Calculations'!B18="","", 'Mass Ion Calculations'!B18)</f>
        <v>Phe-I</v>
      </c>
      <c r="C17" s="3">
        <f>IF(OR($B17="",C$3=""),"",IF('Mass Ion Calculations'!$D$6="Yes",IF('Mass Ion Calculations'!$D$7="Yes",('Mass Ion Calculations'!$D$18+'AA Exact Masses'!$Q$3+'AA Exact Masses'!$Q$2-'Mass Ion Calculations'!$C$5-'Mass Ion Calculations'!$C18)/2-'Mass Ion Calculations'!$D$5,('Mass Ion Calculations'!$F$18+'AA Exact Masses'!$Q$3+'AA Exact Masses'!$Q$2-'Mass Ion Calculations'!$E$5-'Mass Ion Calculations'!$E18)/2-'Mass Ion Calculations'!$D$5),IF('Mass Ion Calculations'!$D$7="Yes", ('Mass Ion Calculations'!$D$15+'AA Exact Masses'!$Q$3+'AA Exact Masses'!$Q$2-'Mass Ion Calculations'!$C$5-'Mass Ion Calculations'!$C18)/2-'Mass Ion Calculations'!$D$5,('Mass Ion Calculations'!$F$15+'AA Exact Masses'!$Q$3+'AA Exact Masses'!$Q$2-'Mass Ion Calculations'!$E$5-'Mass Ion Calculations'!$E18)/2-'Mass Ion Calculations'!$D$5)))</f>
        <v>-493.56070499999998</v>
      </c>
      <c r="D17" s="3">
        <f>IF(OR($B17="",D$3=""),"",IF('Mass Ion Calculations'!$D$6="Yes",IF('Mass Ion Calculations'!$D$7="Yes",('Mass Ion Calculations'!$D$18+'AA Exact Masses'!$Q$3+'AA Exact Masses'!$Q$2-'Mass Ion Calculations'!$C$6-'Mass Ion Calculations'!$C18)/2-'Mass Ion Calculations'!$D$5,('Mass Ion Calculations'!$F$18+'AA Exact Masses'!$Q$3+'AA Exact Masses'!$Q$2-'Mass Ion Calculations'!$E$6-'Mass Ion Calculations'!$E18)/2-'Mass Ion Calculations'!$D$5),IF('Mass Ion Calculations'!$D$7="Yes", ('Mass Ion Calculations'!$D$15+'AA Exact Masses'!$Q$3+'AA Exact Masses'!$Q$2-'Mass Ion Calculations'!$C$6-'Mass Ion Calculations'!$C18)/2-'Mass Ion Calculations'!$D$5,('Mass Ion Calculations'!$F$15+'AA Exact Masses'!$Q$3+'AA Exact Masses'!$Q$2-'Mass Ion Calculations'!$E$6-'Mass Ion Calculations'!$E18)/2-'Mass Ion Calculations'!$D$5)))</f>
        <v>-472.03959999999995</v>
      </c>
      <c r="E17" s="3">
        <f>IF(OR($B17="",E$3=""),"",IF('Mass Ion Calculations'!$D$6="Yes",IF('Mass Ion Calculations'!$D$7="Yes",('Mass Ion Calculations'!$D$18+'AA Exact Masses'!$Q$3+'AA Exact Masses'!$Q$2-'Mass Ion Calculations'!$C$7-'Mass Ion Calculations'!$C18)/2-'Mass Ion Calculations'!$D$5,('Mass Ion Calculations'!$F$18+'AA Exact Masses'!$Q$3+'AA Exact Masses'!$Q$2-'Mass Ion Calculations'!$E$7-'Mass Ion Calculations'!$E18)/2-'Mass Ion Calculations'!$D$5),IF('Mass Ion Calculations'!$D$7="Yes", ('Mass Ion Calculations'!$D$15+'AA Exact Masses'!$Q$3+'AA Exact Masses'!$Q$2-'Mass Ion Calculations'!$C$7-'Mass Ion Calculations'!$C18)/2-'Mass Ion Calculations'!$D$5,('Mass Ion Calculations'!$F$15+'AA Exact Masses'!$Q$3+'AA Exact Masses'!$Q$2-'Mass Ion Calculations'!$E$7-'Mass Ion Calculations'!$E18)/2-'Mass Ion Calculations'!$D$5)))</f>
        <v>-493.06307499999991</v>
      </c>
      <c r="F17" s="3">
        <f>IF(OR($B17="",F$3=""),"",IF('Mass Ion Calculations'!$D$6="Yes",IF('Mass Ion Calculations'!$D$7="Yes",('Mass Ion Calculations'!$D$18+'AA Exact Masses'!$Q$3+'AA Exact Masses'!$Q$2-'Mass Ion Calculations'!$C$8-'Mass Ion Calculations'!$C18)/2-'Mass Ion Calculations'!$D$5,('Mass Ion Calculations'!$F$18+'AA Exact Masses'!$Q$3+'AA Exact Masses'!$Q$2-'Mass Ion Calculations'!$E$8-'Mass Ion Calculations'!$E18)/2-'Mass Ion Calculations'!$D$5),IF('Mass Ion Calculations'!$D$7="Yes", ('Mass Ion Calculations'!$D$15+'AA Exact Masses'!$Q$3+'AA Exact Masses'!$Q$2-'Mass Ion Calculations'!$C$8-'Mass Ion Calculations'!$C18)/2-'Mass Ion Calculations'!$D$5,('Mass Ion Calculations'!$F$15+'AA Exact Masses'!$Q$3+'AA Exact Masses'!$Q$2-'Mass Ion Calculations'!$E$8-'Mass Ion Calculations'!$E18)/2-'Mass Ion Calculations'!$D$5)))</f>
        <v>-493.06307499999991</v>
      </c>
      <c r="G17" s="3">
        <f>IF(OR($B17="",G$3=""),"",IF('Mass Ion Calculations'!$D$6="Yes",IF('Mass Ion Calculations'!$D$7="Yes",('Mass Ion Calculations'!$D$18+'AA Exact Masses'!$Q$3+'AA Exact Masses'!$Q$2-'Mass Ion Calculations'!$C$9-'Mass Ion Calculations'!$C18)/2-'Mass Ion Calculations'!$D$5,('Mass Ion Calculations'!$F$18+'AA Exact Masses'!$Q$3+'AA Exact Masses'!$Q$2-'Mass Ion Calculations'!$E$9-'Mass Ion Calculations'!$E18)/2-'Mass Ion Calculations'!$D$5),IF('Mass Ion Calculations'!$D$7="Yes", ('Mass Ion Calculations'!$D$15+'AA Exact Masses'!$Q$3+'AA Exact Masses'!$Q$2-'Mass Ion Calculations'!$C$9-'Mass Ion Calculations'!$C18)/2-'Mass Ion Calculations'!$D$5,('Mass Ion Calculations'!$F$15+'AA Exact Masses'!$Q$3+'AA Exact Masses'!$Q$2-'Mass Ion Calculations'!$E$9-'Mass Ion Calculations'!$E18)/2-'Mass Ion Calculations'!$D$5)))</f>
        <v>-472.03959999999995</v>
      </c>
      <c r="H17" s="3">
        <f>IF(OR($B17="",H$3=""),"",IF('Mass Ion Calculations'!$D$6="Yes",IF('Mass Ion Calculations'!$D$7="Yes",('Mass Ion Calculations'!$D$18+'AA Exact Masses'!$Q$3+'AA Exact Masses'!$Q$2-'Mass Ion Calculations'!$C$10-'Mass Ion Calculations'!$C18)/2-'Mass Ion Calculations'!$D$5,('Mass Ion Calculations'!$F$18+'AA Exact Masses'!$Q$3+'AA Exact Masses'!$Q$2-'Mass Ion Calculations'!$E$10-'Mass Ion Calculations'!$E18)/2-'Mass Ion Calculations'!$D$5),IF('Mass Ion Calculations'!$D$7="Yes", ('Mass Ion Calculations'!$D$15+'AA Exact Masses'!$Q$3+'AA Exact Masses'!$Q$2-'Mass Ion Calculations'!$C$10-'Mass Ion Calculations'!$C18)/2-'Mass Ion Calculations'!$D$5,('Mass Ion Calculations'!$F$15+'AA Exact Masses'!$Q$3+'AA Exact Masses'!$Q$2-'Mass Ion Calculations'!$E$10-'Mass Ion Calculations'!$E18)/2-'Mass Ion Calculations'!$D$5)))</f>
        <v>-493.06307499999991</v>
      </c>
      <c r="I17" s="3">
        <f>IF(OR($B17="",I$3=""),"",IF('Mass Ion Calculations'!$D$6="Yes",IF('Mass Ion Calculations'!$D$7="Yes",('Mass Ion Calculations'!$D$18+'AA Exact Masses'!$Q$3+'AA Exact Masses'!$Q$2-'Mass Ion Calculations'!$C$11-'Mass Ion Calculations'!$C18)/2-'Mass Ion Calculations'!$D$5,('Mass Ion Calculations'!$F$18+'AA Exact Masses'!$Q$3+'AA Exact Masses'!$Q$2-'Mass Ion Calculations'!$E$11-'Mass Ion Calculations'!$E18)/2-'Mass Ion Calculations'!$D$5),IF('Mass Ion Calculations'!$D$7="Yes", ('Mass Ion Calculations'!$D$15+'AA Exact Masses'!$Q$3+'AA Exact Masses'!$Q$2-'Mass Ion Calculations'!$C$11-'Mass Ion Calculations'!$C18)/2-'Mass Ion Calculations'!$D$5,('Mass Ion Calculations'!$F$15+'AA Exact Masses'!$Q$3+'AA Exact Masses'!$Q$2-'Mass Ion Calculations'!$E$11-'Mass Ion Calculations'!$E18)/2-'Mass Ion Calculations'!$D$5)))</f>
        <v>-493.56070499999998</v>
      </c>
      <c r="J17" s="3">
        <f>IF(OR($B17="",J$3=""),"",IF('Mass Ion Calculations'!$D$6="Yes",IF('Mass Ion Calculations'!$D$7="Yes",('Mass Ion Calculations'!$D$18+'AA Exact Masses'!$Q$3+'AA Exact Masses'!$Q$2-'Mass Ion Calculations'!$C$12-'Mass Ion Calculations'!$C18)/2-'Mass Ion Calculations'!$D$5,('Mass Ion Calculations'!$F$18+'AA Exact Masses'!$Q$3+'AA Exact Masses'!$Q$2-'Mass Ion Calculations'!$E$12-'Mass Ion Calculations'!$E18)/2-'Mass Ion Calculations'!$D$5),IF('Mass Ion Calculations'!$D$7="Yes", ('Mass Ion Calculations'!$D$15+'AA Exact Masses'!$Q$3+'AA Exact Masses'!$Q$2-'Mass Ion Calculations'!$C$12-'Mass Ion Calculations'!$C18)/2-'Mass Ion Calculations'!$D$5,('Mass Ion Calculations'!$F$15+'AA Exact Masses'!$Q$3+'AA Exact Masses'!$Q$2-'Mass Ion Calculations'!$E$12-'Mass Ion Calculations'!$E18)/2-'Mass Ion Calculations'!$D$5)))</f>
        <v>-486.05525</v>
      </c>
      <c r="K17" s="3">
        <f>IF(OR($B17="",K$3=""),"",IF('Mass Ion Calculations'!$D$6="Yes",IF('Mass Ion Calculations'!$D$7="Yes",('Mass Ion Calculations'!$D$18+'AA Exact Masses'!$Q$3+'AA Exact Masses'!$Q$2-'Mass Ion Calculations'!$C$13-'Mass Ion Calculations'!$C18)/2-'Mass Ion Calculations'!$D$5,('Mass Ion Calculations'!$F$18+'AA Exact Masses'!$Q$3+'AA Exact Masses'!$Q$2-'Mass Ion Calculations'!$E$14-'Mass Ion Calculations'!$E18)/2-'Mass Ion Calculations'!$D$5),IF('Mass Ion Calculations'!$D$7="Yes", ('Mass Ion Calculations'!$D$15+'AA Exact Masses'!$Q$3+'AA Exact Masses'!$Q$2-'Mass Ion Calculations'!$C$13-'Mass Ion Calculations'!$C18)/2-'Mass Ion Calculations'!$D$5,('Mass Ion Calculations'!$F$15+'AA Exact Masses'!$Q$3+'AA Exact Masses'!$Q$2-'Mass Ion Calculations'!$E$14-'Mass Ion Calculations'!$E18)/2-'Mass Ion Calculations'!$D$5)))</f>
        <v>-501.04233999999997</v>
      </c>
      <c r="L17" s="3">
        <f>IF(OR($B17="",L$3=""),"",IF('Mass Ion Calculations'!$D$6="Yes",IF('Mass Ion Calculations'!$D$7="Yes",('Mass Ion Calculations'!$D$18+'AA Exact Masses'!$Q$3+'AA Exact Masses'!$Q$2-'Mass Ion Calculations'!$C$14-'Mass Ion Calculations'!$C18)/2-'Mass Ion Calculations'!$D$5,('Mass Ion Calculations'!$F$18+'AA Exact Masses'!$Q$3+'AA Exact Masses'!$Q$2-'Mass Ion Calculations'!$E$15-'Mass Ion Calculations'!$E18)/2-'Mass Ion Calculations'!$D$5),IF('Mass Ion Calculations'!$D$7="Yes", ('Mass Ion Calculations'!$D$15+'AA Exact Masses'!$Q$3+'AA Exact Masses'!$Q$2-'Mass Ion Calculations'!$C$14-'Mass Ion Calculations'!$C18)/2-'Mass Ion Calculations'!$D$5,('Mass Ion Calculations'!$F$15+'AA Exact Masses'!$Q$3+'AA Exact Masses'!$Q$2-'Mass Ion Calculations'!$E$15-'Mass Ion Calculations'!$E18)/2-'Mass Ion Calculations'!$D$5)))</f>
        <v>-494.03451499999994</v>
      </c>
      <c r="M17" s="3">
        <f>IF(OR($B17="",M$3=""),"",IF('Mass Ion Calculations'!$D$6="Yes",IF('Mass Ion Calculations'!$D$7="Yes",('Mass Ion Calculations'!$D$18+'AA Exact Masses'!$Q$3+'AA Exact Masses'!$Q$2-'Mass Ion Calculations'!$C$15-'Mass Ion Calculations'!$C18)/2-'Mass Ion Calculations'!$D$5,('Mass Ion Calculations'!$F$18+'AA Exact Masses'!$Q$3+'AA Exact Masses'!$Q$2-'Mass Ion Calculations'!$E$16-'Mass Ion Calculations'!$E18)/2-'Mass Ion Calculations'!$D$5),IF('Mass Ion Calculations'!$D$7="Yes", ('Mass Ion Calculations'!$D$15+'AA Exact Masses'!$Q$3+'AA Exact Masses'!$Q$2-'Mass Ion Calculations'!$C$15-'Mass Ion Calculations'!$C18)/2-'Mass Ion Calculations'!$D$5,('Mass Ion Calculations'!$F$15+'AA Exact Masses'!$Q$3+'AA Exact Masses'!$Q$2-'Mass Ion Calculations'!$E$16-'Mass Ion Calculations'!$E18)/2-'Mass Ion Calculations'!$D$5)))</f>
        <v>-472.03959999999995</v>
      </c>
      <c r="N17" s="3">
        <f>IF(OR($B17="",N$3=""),"",IF('Mass Ion Calculations'!$D$6="Yes",IF('Mass Ion Calculations'!$D$7="Yes",('Mass Ion Calculations'!$D$18+'AA Exact Masses'!$Q$3+'AA Exact Masses'!$Q$2-'Mass Ion Calculations'!$C$16-'Mass Ion Calculations'!$C18)/2-'Mass Ion Calculations'!$D$5,('Mass Ion Calculations'!$F$18+'AA Exact Masses'!$Q$3+'AA Exact Masses'!$Q$2-'Mass Ion Calculations'!$E$17-'Mass Ion Calculations'!$E18)/2-'Mass Ion Calculations'!$D$5),IF('Mass Ion Calculations'!$D$7="Yes", ('Mass Ion Calculations'!$D$15+'AA Exact Masses'!$Q$3+'AA Exact Masses'!$Q$2-'Mass Ion Calculations'!$C$16-'Mass Ion Calculations'!$C18)/2-'Mass Ion Calculations'!$D$5,('Mass Ion Calculations'!$F$15+'AA Exact Masses'!$Q$3+'AA Exact Masses'!$Q$2-'Mass Ion Calculations'!$E$17-'Mass Ion Calculations'!$E18)/2-'Mass Ion Calculations'!$D$5)))</f>
        <v>-510.05525</v>
      </c>
      <c r="O17" s="3">
        <f>IF(OR($B17="",O$3=""),"",IF('Mass Ion Calculations'!$D$6="Yes",IF('Mass Ion Calculations'!$D$7="Yes",('Mass Ion Calculations'!$D$18+'AA Exact Masses'!$Q$3+'AA Exact Masses'!$Q$2-'Mass Ion Calculations'!$C$17-'Mass Ion Calculations'!$C18)/2-'Mass Ion Calculations'!$D$5,('Mass Ion Calculations'!$F$18+'AA Exact Masses'!$Q$3+'AA Exact Masses'!$Q$2-'Mass Ion Calculations'!$E$18-'Mass Ion Calculations'!$E18)/2-'Mass Ion Calculations'!$D$5),IF('Mass Ion Calculations'!$D$7="Yes", ('Mass Ion Calculations'!$D$15+'AA Exact Masses'!$Q$3+'AA Exact Masses'!$Q$2-'Mass Ion Calculations'!$C$17-'Mass Ion Calculations'!$C18)/2-'Mass Ion Calculations'!$D$5,('Mass Ion Calculations'!$F$15+'AA Exact Masses'!$Q$3+'AA Exact Masses'!$Q$2-'Mass Ion Calculations'!$E$18-'Mass Ion Calculations'!$E18)/2-'Mass Ion Calculations'!$D$5)))</f>
        <v>-573.00357499999996</v>
      </c>
      <c r="P17" s="3">
        <f>IF(OR($B17="",P$3=""),"",IF('Mass Ion Calculations'!$D$6="Yes",IF('Mass Ion Calculations'!$D$7="Yes",('Mass Ion Calculations'!$D$18+'AA Exact Masses'!$Q$3+'AA Exact Masses'!$Q$2-'Mass Ion Calculations'!$C$19-'Mass Ion Calculations'!$C18)/2-'Mass Ion Calculations'!$D$5,('Mass Ion Calculations'!$F$18+'AA Exact Masses'!$Q$3+'AA Exact Masses'!$Q$2-'Mass Ion Calculations'!$E$19-'Mass Ion Calculations'!$E18)/2-'Mass Ion Calculations'!$D$5),IF('Mass Ion Calculations'!$D$7="Yes", ('Mass Ion Calculations'!$D$15+'AA Exact Masses'!$Q$3+'AA Exact Masses'!$Q$2-'Mass Ion Calculations'!$C$19-'Mass Ion Calculations'!$C18)/2-'Mass Ion Calculations'!$D$5,('Mass Ion Calculations'!$F$15+'AA Exact Masses'!$Q$3+'AA Exact Masses'!$Q$2-'Mass Ion Calculations'!$E$19-'Mass Ion Calculations'!$E18)/2-'Mass Ion Calculations'!$D$5)))</f>
        <v>-486.05525</v>
      </c>
      <c r="Q17" s="3">
        <f>IF(OR($B17="",Q$3=""),"",IF('Mass Ion Calculations'!$D$6="Yes",IF('Mass Ion Calculations'!$D$7="Yes",('Mass Ion Calculations'!$D$18+'AA Exact Masses'!$Q$3+'AA Exact Masses'!$Q$2-'Mass Ion Calculations'!$C$20-'Mass Ion Calculations'!$C18)/2-'Mass Ion Calculations'!$D$5,('Mass Ion Calculations'!$F$18+'AA Exact Masses'!$Q$3+'AA Exact Masses'!$Q$2-'Mass Ion Calculations'!$E$20-'Mass Ion Calculations'!$E18)/2-'Mass Ion Calculations'!$D$5),IF('Mass Ion Calculations'!$D$7="Yes", ('Mass Ion Calculations'!$D$15+'AA Exact Masses'!$Q$3+'AA Exact Masses'!$Q$2-'Mass Ion Calculations'!$C$20-'Mass Ion Calculations'!$C18)/2-'Mass Ion Calculations'!$D$5,('Mass Ion Calculations'!$F$15+'AA Exact Masses'!$Q$3+'AA Exact Masses'!$Q$2-'Mass Ion Calculations'!$E$20-'Mass Ion Calculations'!$E18)/2-'Mass Ion Calculations'!$D$5)))</f>
        <v>-493.06307499999991</v>
      </c>
      <c r="R17" s="3" t="e">
        <f>IF(OR($B17="",R$3=""),"",IF('Mass Ion Calculations'!$D$6="Yes",IF('Mass Ion Calculations'!$D$7="Yes",('Mass Ion Calculations'!$D$18+'AA Exact Masses'!$Q$3+'AA Exact Masses'!$Q$2-'Mass Ion Calculations'!$C$21-'Mass Ion Calculations'!$C18)/2-'Mass Ion Calculations'!$D$5,('Mass Ion Calculations'!$F$18+'AA Exact Masses'!$Q$3+'AA Exact Masses'!$Q$2-'Mass Ion Calculations'!$E$21-'Mass Ion Calculations'!$E18)/2-'Mass Ion Calculations'!$D$5),IF('Mass Ion Calculations'!$D$7="Yes", ('Mass Ion Calculations'!$D$15+'AA Exact Masses'!$Q$3+'AA Exact Masses'!$Q$2-'Mass Ion Calculations'!$C$21-'Mass Ion Calculations'!$C18)/2-'Mass Ion Calculations'!$D$5,('Mass Ion Calculations'!$F$15+'AA Exact Masses'!$Q$3+'AA Exact Masses'!$Q$2-'Mass Ion Calculations'!$E$21-'Mass Ion Calculations'!$E18)/2-'Mass Ion Calculations'!$D$5)))</f>
        <v>#VALUE!</v>
      </c>
      <c r="S17" s="3" t="str">
        <f>IF(OR($B17="",S$3=""),"",IF('Mass Ion Calculations'!$D$6="Yes",IF('Mass Ion Calculations'!$D$7="Yes",('Mass Ion Calculations'!$D$18+'AA Exact Masses'!$Q$3+'AA Exact Masses'!$Q$2-'Mass Ion Calculations'!$C$22-'Mass Ion Calculations'!$C18)/2-'Mass Ion Calculations'!$D$5,('Mass Ion Calculations'!$F$18+'AA Exact Masses'!$Q$3+'AA Exact Masses'!$Q$2-'Mass Ion Calculations'!$E$22-'Mass Ion Calculations'!$E18)/2-'Mass Ion Calculations'!$D$5),IF('Mass Ion Calculations'!$D$7="Yes", ('Mass Ion Calculations'!$D$15+'AA Exact Masses'!$Q$3+'AA Exact Masses'!$Q$2-'Mass Ion Calculations'!$C$22-'Mass Ion Calculations'!$C18)/2-'Mass Ion Calculations'!$D$5,('Mass Ion Calculations'!$F$15+'AA Exact Masses'!$Q$3+'AA Exact Masses'!$Q$2-'Mass Ion Calculations'!$E$22-'Mass Ion Calculations'!$E18)/2-'Mass Ion Calculations'!$D$5)))</f>
        <v/>
      </c>
      <c r="T17" s="3" t="e">
        <f>IF(OR($B17="",T$3=""),"",IF('Mass Ion Calculations'!$D$6="Yes",IF('Mass Ion Calculations'!$D$7="Yes",('Mass Ion Calculations'!$D$18+'AA Exact Masses'!$Q$3+'AA Exact Masses'!$Q$2-'Mass Ion Calculations'!$C$22-'Mass Ion Calculations'!$C18)/2-'Mass Ion Calculations'!$D$5,('Mass Ion Calculations'!$F$18+'AA Exact Masses'!$Q$3+'AA Exact Masses'!$Q$2-'Mass Ion Calculations'!$E$22-'Mass Ion Calculations'!#REF!)/2-'Mass Ion Calculations'!$D$5),IF('Mass Ion Calculations'!$D$7="Yes", ('Mass Ion Calculations'!$D$15+'AA Exact Masses'!$Q$3+'AA Exact Masses'!$Q$2-'Mass Ion Calculations'!$C$22-'Mass Ion Calculations'!$C18)/2-'Mass Ion Calculations'!$D$5,('Mass Ion Calculations'!$F$15+'AA Exact Masses'!$Q$3+'AA Exact Masses'!$Q$2-'Mass Ion Calculations'!$E$22-'Mass Ion Calculations'!#REF!)/2-'Mass Ion Calculations'!$D$5)))</f>
        <v>#VALUE!</v>
      </c>
      <c r="U17" s="3" t="e">
        <f>IF(OR($B17="",U$3=""),"",IF('Mass Ion Calculations'!$D$6="Yes",IF('Mass Ion Calculations'!$D$7="Yes",('Mass Ion Calculations'!$D$18+'AA Exact Masses'!$Q$3+'AA Exact Masses'!$Q$2-'Mass Ion Calculations'!$C$23-'Mass Ion Calculations'!$C18)/2-'Mass Ion Calculations'!$D$5,('Mass Ion Calculations'!$F$18+'AA Exact Masses'!$Q$3+'AA Exact Masses'!$Q$2-'Mass Ion Calculations'!$E$23-'Mass Ion Calculations'!#REF!)/2-'Mass Ion Calculations'!$D$5),IF('Mass Ion Calculations'!$D$7="Yes", ('Mass Ion Calculations'!$D$15+'AA Exact Masses'!$Q$3+'AA Exact Masses'!$Q$2-'Mass Ion Calculations'!$C$23-'Mass Ion Calculations'!$C18)/2-'Mass Ion Calculations'!$D$5,('Mass Ion Calculations'!$F$15+'AA Exact Masses'!$Q$3+'AA Exact Masses'!$Q$2-'Mass Ion Calculations'!$E$23-'Mass Ion Calculations'!#REF!)/2-'Mass Ion Calculations'!$D$5)))</f>
        <v>#VALUE!</v>
      </c>
      <c r="V17" s="3" t="str">
        <f>IF(OR($B17="",V$3=""),"",IF('Mass Ion Calculations'!$D$6="Yes",IF('Mass Ion Calculations'!$D$7="Yes",('Mass Ion Calculations'!$D$18+'AA Exact Masses'!$Q$3+'AA Exact Masses'!$Q$2-'Mass Ion Calculations'!$C$24-'Mass Ion Calculations'!$C18)/2-'Mass Ion Calculations'!$D$5,('Mass Ion Calculations'!$F$18+'AA Exact Masses'!$Q$3+'AA Exact Masses'!$Q$2-'Mass Ion Calculations'!$E$24-'Mass Ion Calculations'!#REF!)/2-'Mass Ion Calculations'!$D$5),IF('Mass Ion Calculations'!$D$7="Yes", ('Mass Ion Calculations'!$D$15+'AA Exact Masses'!$Q$3+'AA Exact Masses'!$Q$2-'Mass Ion Calculations'!$C$24-'Mass Ion Calculations'!$C18)/2-'Mass Ion Calculations'!$D$5,('Mass Ion Calculations'!$F$15+'AA Exact Masses'!$Q$3+'AA Exact Masses'!$Q$2-'Mass Ion Calculations'!$E$24-'Mass Ion Calculations'!#REF!)/2-'Mass Ion Calculations'!$D$5)))</f>
        <v/>
      </c>
      <c r="W17" s="3" t="str">
        <f>IF(OR($B17="",W$3=""),"",IF('Mass Ion Calculations'!$D$6="Yes",IF('Mass Ion Calculations'!$D$7="Yes",('Mass Ion Calculations'!$D$18+'AA Exact Masses'!$Q$3+'AA Exact Masses'!$Q$2-'Mass Ion Calculations'!$C$25-'Mass Ion Calculations'!$C18)/2-'Mass Ion Calculations'!$D$5,('Mass Ion Calculations'!$F$18+'AA Exact Masses'!$Q$3+'AA Exact Masses'!$Q$2-'Mass Ion Calculations'!$E$25-'Mass Ion Calculations'!#REF!)/2-'Mass Ion Calculations'!$D$5),IF('Mass Ion Calculations'!$D$7="Yes", ('Mass Ion Calculations'!$D$15+'AA Exact Masses'!$Q$3+'AA Exact Masses'!$Q$2-'Mass Ion Calculations'!$C$25-'Mass Ion Calculations'!$C18)/2-'Mass Ion Calculations'!$D$5,('Mass Ion Calculations'!$F$15+'AA Exact Masses'!$Q$3+'AA Exact Masses'!$Q$2-'Mass Ion Calculations'!$E$25-'Mass Ion Calculations'!#REF!)/2-'Mass Ion Calculations'!$D$5)))</f>
        <v/>
      </c>
      <c r="X17" s="3" t="str">
        <f>IF(OR($B17="",X$3=""),"",IF('Mass Ion Calculations'!$D$6="Yes",IF('Mass Ion Calculations'!$D$7="Yes",('Mass Ion Calculations'!$D$18+'AA Exact Masses'!$Q$3+'AA Exact Masses'!$Q$2-'Mass Ion Calculations'!$C$26-'Mass Ion Calculations'!$C18)/2-'Mass Ion Calculations'!$D$5,('Mass Ion Calculations'!$F$18+'AA Exact Masses'!$Q$3+'AA Exact Masses'!$Q$2-'Mass Ion Calculations'!$E$26-'Mass Ion Calculations'!#REF!)/2-'Mass Ion Calculations'!$D$5),IF('Mass Ion Calculations'!$D$7="Yes", ('Mass Ion Calculations'!$D$15+'AA Exact Masses'!$Q$3+'AA Exact Masses'!$Q$2-'Mass Ion Calculations'!$C$26-'Mass Ion Calculations'!$C18)/2-'Mass Ion Calculations'!$D$5,('Mass Ion Calculations'!$F$15+'AA Exact Masses'!$Q$3+'AA Exact Masses'!$Q$2-'Mass Ion Calculations'!$E$26-'Mass Ion Calculations'!#REF!)/2-'Mass Ion Calculations'!$D$5)))</f>
        <v/>
      </c>
      <c r="Y17" s="3" t="str">
        <f>IF(OR($B17="",Y$3=""),"",IF('Mass Ion Calculations'!$D$6="Yes",IF('Mass Ion Calculations'!$D$7="Yes",('Mass Ion Calculations'!$D$18+'AA Exact Masses'!$Q$3+'AA Exact Masses'!$Q$2-'Mass Ion Calculations'!$C$27-'Mass Ion Calculations'!$C18)/2-'Mass Ion Calculations'!$D$5,('Mass Ion Calculations'!$F$18+'AA Exact Masses'!$Q$3+'AA Exact Masses'!$Q$2-'Mass Ion Calculations'!$E$27-'Mass Ion Calculations'!#REF!)/2-'Mass Ion Calculations'!$D$5),IF('Mass Ion Calculations'!$D$7="Yes", ('Mass Ion Calculations'!$D$15+'AA Exact Masses'!$Q$3+'AA Exact Masses'!$Q$2-'Mass Ion Calculations'!$C$27-'Mass Ion Calculations'!$C18)/2-'Mass Ion Calculations'!$D$5,('Mass Ion Calculations'!$F$15+'AA Exact Masses'!$Q$3+'AA Exact Masses'!$Q$2-'Mass Ion Calculations'!$E$27-'Mass Ion Calculations'!#REF!)/2-'Mass Ion Calculations'!$D$5)))</f>
        <v/>
      </c>
      <c r="Z17" s="3" t="str">
        <f>IF(OR($B17="",Z$3=""),"",IF('Mass Ion Calculations'!$D$6="Yes",IF('Mass Ion Calculations'!$D$7="Yes",('Mass Ion Calculations'!$D$18+'AA Exact Masses'!$Q$3+'AA Exact Masses'!$Q$2-'Mass Ion Calculations'!$C$28-'Mass Ion Calculations'!$C18)/2-'Mass Ion Calculations'!$D$5,('Mass Ion Calculations'!$F$18+'AA Exact Masses'!$Q$3+'AA Exact Masses'!$Q$2-'Mass Ion Calculations'!$E$28-'Mass Ion Calculations'!#REF!)/2-'Mass Ion Calculations'!$D$5),IF('Mass Ion Calculations'!$D$7="Yes", ('Mass Ion Calculations'!$D$15+'AA Exact Masses'!$Q$3+'AA Exact Masses'!$Q$2-'Mass Ion Calculations'!$C$28-'Mass Ion Calculations'!$C18)/2-'Mass Ion Calculations'!$D$5,('Mass Ion Calculations'!$F$15+'AA Exact Masses'!$Q$3+'AA Exact Masses'!$Q$2-'Mass Ion Calculations'!$E$28-'Mass Ion Calculations'!#REF!)/2-'Mass Ion Calculations'!$D$5)))</f>
        <v/>
      </c>
    </row>
    <row r="18" spans="2:26" x14ac:dyDescent="0.25">
      <c r="B18" s="4" t="str">
        <f>IF('Mass Ion Calculations'!B19="","", 'Mass Ion Calculations'!B19)</f>
        <v>Val</v>
      </c>
      <c r="C18" s="3">
        <f>IF(OR($B18="",C$3=""),"",IF('Mass Ion Calculations'!$D$6="Yes",IF('Mass Ion Calculations'!$D$7="Yes",('Mass Ion Calculations'!$D$18+'AA Exact Masses'!$Q$3+'AA Exact Masses'!$Q$2-'Mass Ion Calculations'!$C$5-'Mass Ion Calculations'!$C19)/2-'Mass Ion Calculations'!$D$5,('Mass Ion Calculations'!$F$18+'AA Exact Masses'!$Q$3+'AA Exact Masses'!$Q$2-'Mass Ion Calculations'!$E$5-'Mass Ion Calculations'!$E19)/2-'Mass Ion Calculations'!$D$5),IF('Mass Ion Calculations'!$D$7="Yes", ('Mass Ion Calculations'!$D$15+'AA Exact Masses'!$Q$3+'AA Exact Masses'!$Q$2-'Mass Ion Calculations'!$C$5-'Mass Ion Calculations'!$C19)/2-'Mass Ion Calculations'!$D$5,('Mass Ion Calculations'!$F$15+'AA Exact Masses'!$Q$3+'AA Exact Masses'!$Q$2-'Mass Ion Calculations'!$E$5-'Mass Ion Calculations'!$E19)/2-'Mass Ion Calculations'!$D$5)))</f>
        <v>-406.61238000000003</v>
      </c>
      <c r="D18" s="3">
        <f>IF(OR($B18="",D$3=""),"",IF('Mass Ion Calculations'!$D$6="Yes",IF('Mass Ion Calculations'!$D$7="Yes",('Mass Ion Calculations'!$D$18+'AA Exact Masses'!$Q$3+'AA Exact Masses'!$Q$2-'Mass Ion Calculations'!$C$6-'Mass Ion Calculations'!$C19)/2-'Mass Ion Calculations'!$D$5,('Mass Ion Calculations'!$F$18+'AA Exact Masses'!$Q$3+'AA Exact Masses'!$Q$2-'Mass Ion Calculations'!$E$6-'Mass Ion Calculations'!$E19)/2-'Mass Ion Calculations'!$D$5),IF('Mass Ion Calculations'!$D$7="Yes", ('Mass Ion Calculations'!$D$15+'AA Exact Masses'!$Q$3+'AA Exact Masses'!$Q$2-'Mass Ion Calculations'!$C$6-'Mass Ion Calculations'!$C19)/2-'Mass Ion Calculations'!$D$5,('Mass Ion Calculations'!$F$15+'AA Exact Masses'!$Q$3+'AA Exact Masses'!$Q$2-'Mass Ion Calculations'!$E$6-'Mass Ion Calculations'!$E19)/2-'Mass Ion Calculations'!$D$5)))</f>
        <v>-385.091275</v>
      </c>
      <c r="E18" s="3">
        <f>IF(OR($B18="",E$3=""),"",IF('Mass Ion Calculations'!$D$6="Yes",IF('Mass Ion Calculations'!$D$7="Yes",('Mass Ion Calculations'!$D$18+'AA Exact Masses'!$Q$3+'AA Exact Masses'!$Q$2-'Mass Ion Calculations'!$C$7-'Mass Ion Calculations'!$C19)/2-'Mass Ion Calculations'!$D$5,('Mass Ion Calculations'!$F$18+'AA Exact Masses'!$Q$3+'AA Exact Masses'!$Q$2-'Mass Ion Calculations'!$E$7-'Mass Ion Calculations'!$E19)/2-'Mass Ion Calculations'!$D$5),IF('Mass Ion Calculations'!$D$7="Yes", ('Mass Ion Calculations'!$D$15+'AA Exact Masses'!$Q$3+'AA Exact Masses'!$Q$2-'Mass Ion Calculations'!$C$7-'Mass Ion Calculations'!$C19)/2-'Mass Ion Calculations'!$D$5,('Mass Ion Calculations'!$F$15+'AA Exact Masses'!$Q$3+'AA Exact Masses'!$Q$2-'Mass Ion Calculations'!$E$7-'Mass Ion Calculations'!$E19)/2-'Mass Ion Calculations'!$D$5)))</f>
        <v>-406.11474999999996</v>
      </c>
      <c r="F18" s="3">
        <f>IF(OR($B18="",F$3=""),"",IF('Mass Ion Calculations'!$D$6="Yes",IF('Mass Ion Calculations'!$D$7="Yes",('Mass Ion Calculations'!$D$18+'AA Exact Masses'!$Q$3+'AA Exact Masses'!$Q$2-'Mass Ion Calculations'!$C$8-'Mass Ion Calculations'!$C19)/2-'Mass Ion Calculations'!$D$5,('Mass Ion Calculations'!$F$18+'AA Exact Masses'!$Q$3+'AA Exact Masses'!$Q$2-'Mass Ion Calculations'!$E$8-'Mass Ion Calculations'!$E19)/2-'Mass Ion Calculations'!$D$5),IF('Mass Ion Calculations'!$D$7="Yes", ('Mass Ion Calculations'!$D$15+'AA Exact Masses'!$Q$3+'AA Exact Masses'!$Q$2-'Mass Ion Calculations'!$C$8-'Mass Ion Calculations'!$C19)/2-'Mass Ion Calculations'!$D$5,('Mass Ion Calculations'!$F$15+'AA Exact Masses'!$Q$3+'AA Exact Masses'!$Q$2-'Mass Ion Calculations'!$E$8-'Mass Ion Calculations'!$E19)/2-'Mass Ion Calculations'!$D$5)))</f>
        <v>-406.11474999999996</v>
      </c>
      <c r="G18" s="3">
        <f>IF(OR($B18="",G$3=""),"",IF('Mass Ion Calculations'!$D$6="Yes",IF('Mass Ion Calculations'!$D$7="Yes",('Mass Ion Calculations'!$D$18+'AA Exact Masses'!$Q$3+'AA Exact Masses'!$Q$2-'Mass Ion Calculations'!$C$9-'Mass Ion Calculations'!$C19)/2-'Mass Ion Calculations'!$D$5,('Mass Ion Calculations'!$F$18+'AA Exact Masses'!$Q$3+'AA Exact Masses'!$Q$2-'Mass Ion Calculations'!$E$9-'Mass Ion Calculations'!$E19)/2-'Mass Ion Calculations'!$D$5),IF('Mass Ion Calculations'!$D$7="Yes", ('Mass Ion Calculations'!$D$15+'AA Exact Masses'!$Q$3+'AA Exact Masses'!$Q$2-'Mass Ion Calculations'!$C$9-'Mass Ion Calculations'!$C19)/2-'Mass Ion Calculations'!$D$5,('Mass Ion Calculations'!$F$15+'AA Exact Masses'!$Q$3+'AA Exact Masses'!$Q$2-'Mass Ion Calculations'!$E$9-'Mass Ion Calculations'!$E19)/2-'Mass Ion Calculations'!$D$5)))</f>
        <v>-385.091275</v>
      </c>
      <c r="H18" s="3">
        <f>IF(OR($B18="",H$3=""),"",IF('Mass Ion Calculations'!$D$6="Yes",IF('Mass Ion Calculations'!$D$7="Yes",('Mass Ion Calculations'!$D$18+'AA Exact Masses'!$Q$3+'AA Exact Masses'!$Q$2-'Mass Ion Calculations'!$C$10-'Mass Ion Calculations'!$C19)/2-'Mass Ion Calculations'!$D$5,('Mass Ion Calculations'!$F$18+'AA Exact Masses'!$Q$3+'AA Exact Masses'!$Q$2-'Mass Ion Calculations'!$E$10-'Mass Ion Calculations'!$E19)/2-'Mass Ion Calculations'!$D$5),IF('Mass Ion Calculations'!$D$7="Yes", ('Mass Ion Calculations'!$D$15+'AA Exact Masses'!$Q$3+'AA Exact Masses'!$Q$2-'Mass Ion Calculations'!$C$10-'Mass Ion Calculations'!$C19)/2-'Mass Ion Calculations'!$D$5,('Mass Ion Calculations'!$F$15+'AA Exact Masses'!$Q$3+'AA Exact Masses'!$Q$2-'Mass Ion Calculations'!$E$10-'Mass Ion Calculations'!$E19)/2-'Mass Ion Calculations'!$D$5)))</f>
        <v>-406.11474999999996</v>
      </c>
      <c r="I18" s="3">
        <f>IF(OR($B18="",I$3=""),"",IF('Mass Ion Calculations'!$D$6="Yes",IF('Mass Ion Calculations'!$D$7="Yes",('Mass Ion Calculations'!$D$18+'AA Exact Masses'!$Q$3+'AA Exact Masses'!$Q$2-'Mass Ion Calculations'!$C$11-'Mass Ion Calculations'!$C19)/2-'Mass Ion Calculations'!$D$5,('Mass Ion Calculations'!$F$18+'AA Exact Masses'!$Q$3+'AA Exact Masses'!$Q$2-'Mass Ion Calculations'!$E$11-'Mass Ion Calculations'!$E19)/2-'Mass Ion Calculations'!$D$5),IF('Mass Ion Calculations'!$D$7="Yes", ('Mass Ion Calculations'!$D$15+'AA Exact Masses'!$Q$3+'AA Exact Masses'!$Q$2-'Mass Ion Calculations'!$C$11-'Mass Ion Calculations'!$C19)/2-'Mass Ion Calculations'!$D$5,('Mass Ion Calculations'!$F$15+'AA Exact Masses'!$Q$3+'AA Exact Masses'!$Q$2-'Mass Ion Calculations'!$E$11-'Mass Ion Calculations'!$E19)/2-'Mass Ion Calculations'!$D$5)))</f>
        <v>-406.61238000000003</v>
      </c>
      <c r="J18" s="3">
        <f>IF(OR($B18="",J$3=""),"",IF('Mass Ion Calculations'!$D$6="Yes",IF('Mass Ion Calculations'!$D$7="Yes",('Mass Ion Calculations'!$D$18+'AA Exact Masses'!$Q$3+'AA Exact Masses'!$Q$2-'Mass Ion Calculations'!$C$12-'Mass Ion Calculations'!$C19)/2-'Mass Ion Calculations'!$D$5,('Mass Ion Calculations'!$F$18+'AA Exact Masses'!$Q$3+'AA Exact Masses'!$Q$2-'Mass Ion Calculations'!$E$12-'Mass Ion Calculations'!$E19)/2-'Mass Ion Calculations'!$D$5),IF('Mass Ion Calculations'!$D$7="Yes", ('Mass Ion Calculations'!$D$15+'AA Exact Masses'!$Q$3+'AA Exact Masses'!$Q$2-'Mass Ion Calculations'!$C$12-'Mass Ion Calculations'!$C19)/2-'Mass Ion Calculations'!$D$5,('Mass Ion Calculations'!$F$15+'AA Exact Masses'!$Q$3+'AA Exact Masses'!$Q$2-'Mass Ion Calculations'!$E$12-'Mass Ion Calculations'!$E19)/2-'Mass Ion Calculations'!$D$5)))</f>
        <v>-399.10692500000005</v>
      </c>
      <c r="K18" s="3">
        <f>IF(OR($B18="",K$3=""),"",IF('Mass Ion Calculations'!$D$6="Yes",IF('Mass Ion Calculations'!$D$7="Yes",('Mass Ion Calculations'!$D$18+'AA Exact Masses'!$Q$3+'AA Exact Masses'!$Q$2-'Mass Ion Calculations'!$C$13-'Mass Ion Calculations'!$C19)/2-'Mass Ion Calculations'!$D$5,('Mass Ion Calculations'!$F$18+'AA Exact Masses'!$Q$3+'AA Exact Masses'!$Q$2-'Mass Ion Calculations'!$E$14-'Mass Ion Calculations'!$E19)/2-'Mass Ion Calculations'!$D$5),IF('Mass Ion Calculations'!$D$7="Yes", ('Mass Ion Calculations'!$D$15+'AA Exact Masses'!$Q$3+'AA Exact Masses'!$Q$2-'Mass Ion Calculations'!$C$13-'Mass Ion Calculations'!$C19)/2-'Mass Ion Calculations'!$D$5,('Mass Ion Calculations'!$F$15+'AA Exact Masses'!$Q$3+'AA Exact Masses'!$Q$2-'Mass Ion Calculations'!$E$14-'Mass Ion Calculations'!$E19)/2-'Mass Ion Calculations'!$D$5)))</f>
        <v>-414.09401500000001</v>
      </c>
      <c r="L18" s="3">
        <f>IF(OR($B18="",L$3=""),"",IF('Mass Ion Calculations'!$D$6="Yes",IF('Mass Ion Calculations'!$D$7="Yes",('Mass Ion Calculations'!$D$18+'AA Exact Masses'!$Q$3+'AA Exact Masses'!$Q$2-'Mass Ion Calculations'!$C$14-'Mass Ion Calculations'!$C19)/2-'Mass Ion Calculations'!$D$5,('Mass Ion Calculations'!$F$18+'AA Exact Masses'!$Q$3+'AA Exact Masses'!$Q$2-'Mass Ion Calculations'!$E$15-'Mass Ion Calculations'!$E19)/2-'Mass Ion Calculations'!$D$5),IF('Mass Ion Calculations'!$D$7="Yes", ('Mass Ion Calculations'!$D$15+'AA Exact Masses'!$Q$3+'AA Exact Masses'!$Q$2-'Mass Ion Calculations'!$C$14-'Mass Ion Calculations'!$C19)/2-'Mass Ion Calculations'!$D$5,('Mass Ion Calculations'!$F$15+'AA Exact Masses'!$Q$3+'AA Exact Masses'!$Q$2-'Mass Ion Calculations'!$E$15-'Mass Ion Calculations'!$E19)/2-'Mass Ion Calculations'!$D$5)))</f>
        <v>-407.08618999999999</v>
      </c>
      <c r="M18" s="3">
        <f>IF(OR($B18="",M$3=""),"",IF('Mass Ion Calculations'!$D$6="Yes",IF('Mass Ion Calculations'!$D$7="Yes",('Mass Ion Calculations'!$D$18+'AA Exact Masses'!$Q$3+'AA Exact Masses'!$Q$2-'Mass Ion Calculations'!$C$15-'Mass Ion Calculations'!$C19)/2-'Mass Ion Calculations'!$D$5,('Mass Ion Calculations'!$F$18+'AA Exact Masses'!$Q$3+'AA Exact Masses'!$Q$2-'Mass Ion Calculations'!$E$16-'Mass Ion Calculations'!$E19)/2-'Mass Ion Calculations'!$D$5),IF('Mass Ion Calculations'!$D$7="Yes", ('Mass Ion Calculations'!$D$15+'AA Exact Masses'!$Q$3+'AA Exact Masses'!$Q$2-'Mass Ion Calculations'!$C$15-'Mass Ion Calculations'!$C19)/2-'Mass Ion Calculations'!$D$5,('Mass Ion Calculations'!$F$15+'AA Exact Masses'!$Q$3+'AA Exact Masses'!$Q$2-'Mass Ion Calculations'!$E$16-'Mass Ion Calculations'!$E19)/2-'Mass Ion Calculations'!$D$5)))</f>
        <v>-385.091275</v>
      </c>
      <c r="N18" s="3">
        <f>IF(OR($B18="",N$3=""),"",IF('Mass Ion Calculations'!$D$6="Yes",IF('Mass Ion Calculations'!$D$7="Yes",('Mass Ion Calculations'!$D$18+'AA Exact Masses'!$Q$3+'AA Exact Masses'!$Q$2-'Mass Ion Calculations'!$C$16-'Mass Ion Calculations'!$C19)/2-'Mass Ion Calculations'!$D$5,('Mass Ion Calculations'!$F$18+'AA Exact Masses'!$Q$3+'AA Exact Masses'!$Q$2-'Mass Ion Calculations'!$E$17-'Mass Ion Calculations'!$E19)/2-'Mass Ion Calculations'!$D$5),IF('Mass Ion Calculations'!$D$7="Yes", ('Mass Ion Calculations'!$D$15+'AA Exact Masses'!$Q$3+'AA Exact Masses'!$Q$2-'Mass Ion Calculations'!$C$16-'Mass Ion Calculations'!$C19)/2-'Mass Ion Calculations'!$D$5,('Mass Ion Calculations'!$F$15+'AA Exact Masses'!$Q$3+'AA Exact Masses'!$Q$2-'Mass Ion Calculations'!$E$17-'Mass Ion Calculations'!$E19)/2-'Mass Ion Calculations'!$D$5)))</f>
        <v>-423.10692500000005</v>
      </c>
      <c r="O18" s="3">
        <f>IF(OR($B18="",O$3=""),"",IF('Mass Ion Calculations'!$D$6="Yes",IF('Mass Ion Calculations'!$D$7="Yes",('Mass Ion Calculations'!$D$18+'AA Exact Masses'!$Q$3+'AA Exact Masses'!$Q$2-'Mass Ion Calculations'!$C$17-'Mass Ion Calculations'!$C19)/2-'Mass Ion Calculations'!$D$5,('Mass Ion Calculations'!$F$18+'AA Exact Masses'!$Q$3+'AA Exact Masses'!$Q$2-'Mass Ion Calculations'!$E$18-'Mass Ion Calculations'!$E19)/2-'Mass Ion Calculations'!$D$5),IF('Mass Ion Calculations'!$D$7="Yes", ('Mass Ion Calculations'!$D$15+'AA Exact Masses'!$Q$3+'AA Exact Masses'!$Q$2-'Mass Ion Calculations'!$C$17-'Mass Ion Calculations'!$C19)/2-'Mass Ion Calculations'!$D$5,('Mass Ion Calculations'!$F$15+'AA Exact Masses'!$Q$3+'AA Exact Masses'!$Q$2-'Mass Ion Calculations'!$E$18-'Mass Ion Calculations'!$E19)/2-'Mass Ion Calculations'!$D$5)))</f>
        <v>-486.05525</v>
      </c>
      <c r="P18" s="3">
        <f>IF(OR($B18="",P$3=""),"",IF('Mass Ion Calculations'!$D$6="Yes",IF('Mass Ion Calculations'!$D$7="Yes",('Mass Ion Calculations'!$D$18+'AA Exact Masses'!$Q$3+'AA Exact Masses'!$Q$2-'Mass Ion Calculations'!$C$19-'Mass Ion Calculations'!$C19)/2-'Mass Ion Calculations'!$D$5,('Mass Ion Calculations'!$F$18+'AA Exact Masses'!$Q$3+'AA Exact Masses'!$Q$2-'Mass Ion Calculations'!$E$19-'Mass Ion Calculations'!$E19)/2-'Mass Ion Calculations'!$D$5),IF('Mass Ion Calculations'!$D$7="Yes", ('Mass Ion Calculations'!$D$15+'AA Exact Masses'!$Q$3+'AA Exact Masses'!$Q$2-'Mass Ion Calculations'!$C$19-'Mass Ion Calculations'!$C19)/2-'Mass Ion Calculations'!$D$5,('Mass Ion Calculations'!$F$15+'AA Exact Masses'!$Q$3+'AA Exact Masses'!$Q$2-'Mass Ion Calculations'!$E$19-'Mass Ion Calculations'!$E19)/2-'Mass Ion Calculations'!$D$5)))</f>
        <v>-399.10692500000005</v>
      </c>
      <c r="Q18" s="3">
        <f>IF(OR($B18="",Q$3=""),"",IF('Mass Ion Calculations'!$D$6="Yes",IF('Mass Ion Calculations'!$D$7="Yes",('Mass Ion Calculations'!$D$18+'AA Exact Masses'!$Q$3+'AA Exact Masses'!$Q$2-'Mass Ion Calculations'!$C$20-'Mass Ion Calculations'!$C19)/2-'Mass Ion Calculations'!$D$5,('Mass Ion Calculations'!$F$18+'AA Exact Masses'!$Q$3+'AA Exact Masses'!$Q$2-'Mass Ion Calculations'!$E$20-'Mass Ion Calculations'!$E19)/2-'Mass Ion Calculations'!$D$5),IF('Mass Ion Calculations'!$D$7="Yes", ('Mass Ion Calculations'!$D$15+'AA Exact Masses'!$Q$3+'AA Exact Masses'!$Q$2-'Mass Ion Calculations'!$C$20-'Mass Ion Calculations'!$C19)/2-'Mass Ion Calculations'!$D$5,('Mass Ion Calculations'!$F$15+'AA Exact Masses'!$Q$3+'AA Exact Masses'!$Q$2-'Mass Ion Calculations'!$E$20-'Mass Ion Calculations'!$E19)/2-'Mass Ion Calculations'!$D$5)))</f>
        <v>-406.11474999999996</v>
      </c>
      <c r="R18" s="3" t="e">
        <f>IF(OR($B18="",R$3=""),"",IF('Mass Ion Calculations'!$D$6="Yes",IF('Mass Ion Calculations'!$D$7="Yes",('Mass Ion Calculations'!$D$18+'AA Exact Masses'!$Q$3+'AA Exact Masses'!$Q$2-'Mass Ion Calculations'!$C$21-'Mass Ion Calculations'!$C19)/2-'Mass Ion Calculations'!$D$5,('Mass Ion Calculations'!$F$18+'AA Exact Masses'!$Q$3+'AA Exact Masses'!$Q$2-'Mass Ion Calculations'!$E$21-'Mass Ion Calculations'!$E19)/2-'Mass Ion Calculations'!$D$5),IF('Mass Ion Calculations'!$D$7="Yes", ('Mass Ion Calculations'!$D$15+'AA Exact Masses'!$Q$3+'AA Exact Masses'!$Q$2-'Mass Ion Calculations'!$C$21-'Mass Ion Calculations'!$C19)/2-'Mass Ion Calculations'!$D$5,('Mass Ion Calculations'!$F$15+'AA Exact Masses'!$Q$3+'AA Exact Masses'!$Q$2-'Mass Ion Calculations'!$E$21-'Mass Ion Calculations'!$E19)/2-'Mass Ion Calculations'!$D$5)))</f>
        <v>#VALUE!</v>
      </c>
      <c r="S18" s="3" t="str">
        <f>IF(OR($B18="",S$3=""),"",IF('Mass Ion Calculations'!$D$6="Yes",IF('Mass Ion Calculations'!$D$7="Yes",('Mass Ion Calculations'!$D$18+'AA Exact Masses'!$Q$3+'AA Exact Masses'!$Q$2-'Mass Ion Calculations'!$C$22-'Mass Ion Calculations'!$C19)/2-'Mass Ion Calculations'!$D$5,('Mass Ion Calculations'!$F$18+'AA Exact Masses'!$Q$3+'AA Exact Masses'!$Q$2-'Mass Ion Calculations'!$E$22-'Mass Ion Calculations'!$E19)/2-'Mass Ion Calculations'!$D$5),IF('Mass Ion Calculations'!$D$7="Yes", ('Mass Ion Calculations'!$D$15+'AA Exact Masses'!$Q$3+'AA Exact Masses'!$Q$2-'Mass Ion Calculations'!$C$22-'Mass Ion Calculations'!$C19)/2-'Mass Ion Calculations'!$D$5,('Mass Ion Calculations'!$F$15+'AA Exact Masses'!$Q$3+'AA Exact Masses'!$Q$2-'Mass Ion Calculations'!$E$22-'Mass Ion Calculations'!$E19)/2-'Mass Ion Calculations'!$D$5)))</f>
        <v/>
      </c>
      <c r="T18" s="3" t="e">
        <f>IF(OR($B18="",T$3=""),"",IF('Mass Ion Calculations'!$D$6="Yes",IF('Mass Ion Calculations'!$D$7="Yes",('Mass Ion Calculations'!$D$18+'AA Exact Masses'!$Q$3+'AA Exact Masses'!$Q$2-'Mass Ion Calculations'!$C$22-'Mass Ion Calculations'!$C19)/2-'Mass Ion Calculations'!$D$5,('Mass Ion Calculations'!$F$18+'AA Exact Masses'!$Q$3+'AA Exact Masses'!$Q$2-'Mass Ion Calculations'!$E$22-'Mass Ion Calculations'!$E19)/2-'Mass Ion Calculations'!$D$5),IF('Mass Ion Calculations'!$D$7="Yes", ('Mass Ion Calculations'!$D$15+'AA Exact Masses'!$Q$3+'AA Exact Masses'!$Q$2-'Mass Ion Calculations'!$C$22-'Mass Ion Calculations'!$C19)/2-'Mass Ion Calculations'!$D$5,('Mass Ion Calculations'!$F$15+'AA Exact Masses'!$Q$3+'AA Exact Masses'!$Q$2-'Mass Ion Calculations'!$E$22-'Mass Ion Calculations'!$E19)/2-'Mass Ion Calculations'!$D$5)))</f>
        <v>#VALUE!</v>
      </c>
      <c r="U18" s="3" t="e">
        <f>IF(OR($B18="",U$3=""),"",IF('Mass Ion Calculations'!$D$6="Yes",IF('Mass Ion Calculations'!$D$7="Yes",('Mass Ion Calculations'!$D$18+'AA Exact Masses'!$Q$3+'AA Exact Masses'!$Q$2-'Mass Ion Calculations'!$C$23-'Mass Ion Calculations'!$C19)/2-'Mass Ion Calculations'!$D$5,('Mass Ion Calculations'!$F$18+'AA Exact Masses'!$Q$3+'AA Exact Masses'!$Q$2-'Mass Ion Calculations'!$E$23-'Mass Ion Calculations'!$E19)/2-'Mass Ion Calculations'!$D$5),IF('Mass Ion Calculations'!$D$7="Yes", ('Mass Ion Calculations'!$D$15+'AA Exact Masses'!$Q$3+'AA Exact Masses'!$Q$2-'Mass Ion Calculations'!$C$23-'Mass Ion Calculations'!$C19)/2-'Mass Ion Calculations'!$D$5,('Mass Ion Calculations'!$F$15+'AA Exact Masses'!$Q$3+'AA Exact Masses'!$Q$2-'Mass Ion Calculations'!$E$23-'Mass Ion Calculations'!$E19)/2-'Mass Ion Calculations'!$D$5)))</f>
        <v>#VALUE!</v>
      </c>
      <c r="V18" s="3" t="str">
        <f>IF(OR($B18="",V$3=""),"",IF('Mass Ion Calculations'!$D$6="Yes",IF('Mass Ion Calculations'!$D$7="Yes",('Mass Ion Calculations'!$D$18+'AA Exact Masses'!$Q$3+'AA Exact Masses'!$Q$2-'Mass Ion Calculations'!$C$24-'Mass Ion Calculations'!$C19)/2-'Mass Ion Calculations'!$D$5,('Mass Ion Calculations'!$F$18+'AA Exact Masses'!$Q$3+'AA Exact Masses'!$Q$2-'Mass Ion Calculations'!$E$24-'Mass Ion Calculations'!$E19)/2-'Mass Ion Calculations'!$D$5),IF('Mass Ion Calculations'!$D$7="Yes", ('Mass Ion Calculations'!$D$15+'AA Exact Masses'!$Q$3+'AA Exact Masses'!$Q$2-'Mass Ion Calculations'!$C$24-'Mass Ion Calculations'!$C19)/2-'Mass Ion Calculations'!$D$5,('Mass Ion Calculations'!$F$15+'AA Exact Masses'!$Q$3+'AA Exact Masses'!$Q$2-'Mass Ion Calculations'!$E$24-'Mass Ion Calculations'!$E19)/2-'Mass Ion Calculations'!$D$5)))</f>
        <v/>
      </c>
      <c r="W18" s="3" t="str">
        <f>IF(OR($B18="",W$3=""),"",IF('Mass Ion Calculations'!$D$6="Yes",IF('Mass Ion Calculations'!$D$7="Yes",('Mass Ion Calculations'!$D$18+'AA Exact Masses'!$Q$3+'AA Exact Masses'!$Q$2-'Mass Ion Calculations'!$C$25-'Mass Ion Calculations'!$C19)/2-'Mass Ion Calculations'!$D$5,('Mass Ion Calculations'!$F$18+'AA Exact Masses'!$Q$3+'AA Exact Masses'!$Q$2-'Mass Ion Calculations'!$E$25-'Mass Ion Calculations'!$E19)/2-'Mass Ion Calculations'!$D$5),IF('Mass Ion Calculations'!$D$7="Yes", ('Mass Ion Calculations'!$D$15+'AA Exact Masses'!$Q$3+'AA Exact Masses'!$Q$2-'Mass Ion Calculations'!$C$25-'Mass Ion Calculations'!$C19)/2-'Mass Ion Calculations'!$D$5,('Mass Ion Calculations'!$F$15+'AA Exact Masses'!$Q$3+'AA Exact Masses'!$Q$2-'Mass Ion Calculations'!$E$25-'Mass Ion Calculations'!$E19)/2-'Mass Ion Calculations'!$D$5)))</f>
        <v/>
      </c>
      <c r="X18" s="3" t="str">
        <f>IF(OR($B18="",X$3=""),"",IF('Mass Ion Calculations'!$D$6="Yes",IF('Mass Ion Calculations'!$D$7="Yes",('Mass Ion Calculations'!$D$18+'AA Exact Masses'!$Q$3+'AA Exact Masses'!$Q$2-'Mass Ion Calculations'!$C$26-'Mass Ion Calculations'!$C19)/2-'Mass Ion Calculations'!$D$5,('Mass Ion Calculations'!$F$18+'AA Exact Masses'!$Q$3+'AA Exact Masses'!$Q$2-'Mass Ion Calculations'!$E$26-'Mass Ion Calculations'!$E19)/2-'Mass Ion Calculations'!$D$5),IF('Mass Ion Calculations'!$D$7="Yes", ('Mass Ion Calculations'!$D$15+'AA Exact Masses'!$Q$3+'AA Exact Masses'!$Q$2-'Mass Ion Calculations'!$C$26-'Mass Ion Calculations'!$C19)/2-'Mass Ion Calculations'!$D$5,('Mass Ion Calculations'!$F$15+'AA Exact Masses'!$Q$3+'AA Exact Masses'!$Q$2-'Mass Ion Calculations'!$E$26-'Mass Ion Calculations'!$E19)/2-'Mass Ion Calculations'!$D$5)))</f>
        <v/>
      </c>
      <c r="Y18" s="3" t="str">
        <f>IF(OR($B18="",Y$3=""),"",IF('Mass Ion Calculations'!$D$6="Yes",IF('Mass Ion Calculations'!$D$7="Yes",('Mass Ion Calculations'!$D$18+'AA Exact Masses'!$Q$3+'AA Exact Masses'!$Q$2-'Mass Ion Calculations'!$C$27-'Mass Ion Calculations'!$C19)/2-'Mass Ion Calculations'!$D$5,('Mass Ion Calculations'!$F$18+'AA Exact Masses'!$Q$3+'AA Exact Masses'!$Q$2-'Mass Ion Calculations'!$E$27-'Mass Ion Calculations'!$E19)/2-'Mass Ion Calculations'!$D$5),IF('Mass Ion Calculations'!$D$7="Yes", ('Mass Ion Calculations'!$D$15+'AA Exact Masses'!$Q$3+'AA Exact Masses'!$Q$2-'Mass Ion Calculations'!$C$27-'Mass Ion Calculations'!$C19)/2-'Mass Ion Calculations'!$D$5,('Mass Ion Calculations'!$F$15+'AA Exact Masses'!$Q$3+'AA Exact Masses'!$Q$2-'Mass Ion Calculations'!$E$27-'Mass Ion Calculations'!$E19)/2-'Mass Ion Calculations'!$D$5)))</f>
        <v/>
      </c>
      <c r="Z18" s="3" t="str">
        <f>IF(OR($B18="",Z$3=""),"",IF('Mass Ion Calculations'!$D$6="Yes",IF('Mass Ion Calculations'!$D$7="Yes",('Mass Ion Calculations'!$D$18+'AA Exact Masses'!$Q$3+'AA Exact Masses'!$Q$2-'Mass Ion Calculations'!$C$28-'Mass Ion Calculations'!$C19)/2-'Mass Ion Calculations'!$D$5,('Mass Ion Calculations'!$F$18+'AA Exact Masses'!$Q$3+'AA Exact Masses'!$Q$2-'Mass Ion Calculations'!$E$28-'Mass Ion Calculations'!$E19)/2-'Mass Ion Calculations'!$D$5),IF('Mass Ion Calculations'!$D$7="Yes", ('Mass Ion Calculations'!$D$15+'AA Exact Masses'!$Q$3+'AA Exact Masses'!$Q$2-'Mass Ion Calculations'!$C$28-'Mass Ion Calculations'!$C19)/2-'Mass Ion Calculations'!$D$5,('Mass Ion Calculations'!$F$15+'AA Exact Masses'!$Q$3+'AA Exact Masses'!$Q$2-'Mass Ion Calculations'!$E$28-'Mass Ion Calculations'!$E19)/2-'Mass Ion Calculations'!$D$5)))</f>
        <v/>
      </c>
    </row>
    <row r="19" spans="2:26" x14ac:dyDescent="0.25">
      <c r="B19" s="4" t="str">
        <f>IF('Mass Ion Calculations'!B20="","", 'Mass Ion Calculations'!B20)</f>
        <v>Leu</v>
      </c>
      <c r="C19" s="3">
        <f>IF(OR($B19="",C$3=""),"",IF('Mass Ion Calculations'!$D$6="Yes",IF('Mass Ion Calculations'!$D$7="Yes",('Mass Ion Calculations'!$D$18+'AA Exact Masses'!$Q$3+'AA Exact Masses'!$Q$2-'Mass Ion Calculations'!$C$5-'Mass Ion Calculations'!$C20)/2-'Mass Ion Calculations'!$D$5,('Mass Ion Calculations'!$F$18+'AA Exact Masses'!$Q$3+'AA Exact Masses'!$Q$2-'Mass Ion Calculations'!$E$5-'Mass Ion Calculations'!$E20)/2-'Mass Ion Calculations'!$D$5),IF('Mass Ion Calculations'!$D$7="Yes", ('Mass Ion Calculations'!$D$15+'AA Exact Masses'!$Q$3+'AA Exact Masses'!$Q$2-'Mass Ion Calculations'!$C$5-'Mass Ion Calculations'!$C20)/2-'Mass Ion Calculations'!$D$5,('Mass Ion Calculations'!$F$15+'AA Exact Masses'!$Q$3+'AA Exact Masses'!$Q$2-'Mass Ion Calculations'!$E$5-'Mass Ion Calculations'!$E20)/2-'Mass Ion Calculations'!$D$5)))</f>
        <v>-413.62020499999994</v>
      </c>
      <c r="D19" s="3">
        <f>IF(OR($B19="",D$3=""),"",IF('Mass Ion Calculations'!$D$6="Yes",IF('Mass Ion Calculations'!$D$7="Yes",('Mass Ion Calculations'!$D$18+'AA Exact Masses'!$Q$3+'AA Exact Masses'!$Q$2-'Mass Ion Calculations'!$C$6-'Mass Ion Calculations'!$C20)/2-'Mass Ion Calculations'!$D$5,('Mass Ion Calculations'!$F$18+'AA Exact Masses'!$Q$3+'AA Exact Masses'!$Q$2-'Mass Ion Calculations'!$E$6-'Mass Ion Calculations'!$E20)/2-'Mass Ion Calculations'!$D$5),IF('Mass Ion Calculations'!$D$7="Yes", ('Mass Ion Calculations'!$D$15+'AA Exact Masses'!$Q$3+'AA Exact Masses'!$Q$2-'Mass Ion Calculations'!$C$6-'Mass Ion Calculations'!$C20)/2-'Mass Ion Calculations'!$D$5,('Mass Ion Calculations'!$F$15+'AA Exact Masses'!$Q$3+'AA Exact Masses'!$Q$2-'Mass Ion Calculations'!$E$6-'Mass Ion Calculations'!$E20)/2-'Mass Ion Calculations'!$D$5)))</f>
        <v>-392.09909999999991</v>
      </c>
      <c r="E19" s="3">
        <f>IF(OR($B19="",E$3=""),"",IF('Mass Ion Calculations'!$D$6="Yes",IF('Mass Ion Calculations'!$D$7="Yes",('Mass Ion Calculations'!$D$18+'AA Exact Masses'!$Q$3+'AA Exact Masses'!$Q$2-'Mass Ion Calculations'!$C$7-'Mass Ion Calculations'!$C20)/2-'Mass Ion Calculations'!$D$5,('Mass Ion Calculations'!$F$18+'AA Exact Masses'!$Q$3+'AA Exact Masses'!$Q$2-'Mass Ion Calculations'!$E$7-'Mass Ion Calculations'!$E20)/2-'Mass Ion Calculations'!$D$5),IF('Mass Ion Calculations'!$D$7="Yes", ('Mass Ion Calculations'!$D$15+'AA Exact Masses'!$Q$3+'AA Exact Masses'!$Q$2-'Mass Ion Calculations'!$C$7-'Mass Ion Calculations'!$C20)/2-'Mass Ion Calculations'!$D$5,('Mass Ion Calculations'!$F$15+'AA Exact Masses'!$Q$3+'AA Exact Masses'!$Q$2-'Mass Ion Calculations'!$E$7-'Mass Ion Calculations'!$E20)/2-'Mass Ion Calculations'!$D$5)))</f>
        <v>-413.12257499999987</v>
      </c>
      <c r="F19" s="3">
        <f>IF(OR($B19="",F$3=""),"",IF('Mass Ion Calculations'!$D$6="Yes",IF('Mass Ion Calculations'!$D$7="Yes",('Mass Ion Calculations'!$D$18+'AA Exact Masses'!$Q$3+'AA Exact Masses'!$Q$2-'Mass Ion Calculations'!$C$8-'Mass Ion Calculations'!$C20)/2-'Mass Ion Calculations'!$D$5,('Mass Ion Calculations'!$F$18+'AA Exact Masses'!$Q$3+'AA Exact Masses'!$Q$2-'Mass Ion Calculations'!$E$8-'Mass Ion Calculations'!$E20)/2-'Mass Ion Calculations'!$D$5),IF('Mass Ion Calculations'!$D$7="Yes", ('Mass Ion Calculations'!$D$15+'AA Exact Masses'!$Q$3+'AA Exact Masses'!$Q$2-'Mass Ion Calculations'!$C$8-'Mass Ion Calculations'!$C20)/2-'Mass Ion Calculations'!$D$5,('Mass Ion Calculations'!$F$15+'AA Exact Masses'!$Q$3+'AA Exact Masses'!$Q$2-'Mass Ion Calculations'!$E$8-'Mass Ion Calculations'!$E20)/2-'Mass Ion Calculations'!$D$5)))</f>
        <v>-413.12257499999987</v>
      </c>
      <c r="G19" s="3">
        <f>IF(OR($B19="",G$3=""),"",IF('Mass Ion Calculations'!$D$6="Yes",IF('Mass Ion Calculations'!$D$7="Yes",('Mass Ion Calculations'!$D$18+'AA Exact Masses'!$Q$3+'AA Exact Masses'!$Q$2-'Mass Ion Calculations'!$C$9-'Mass Ion Calculations'!$C20)/2-'Mass Ion Calculations'!$D$5,('Mass Ion Calculations'!$F$18+'AA Exact Masses'!$Q$3+'AA Exact Masses'!$Q$2-'Mass Ion Calculations'!$E$9-'Mass Ion Calculations'!$E20)/2-'Mass Ion Calculations'!$D$5),IF('Mass Ion Calculations'!$D$7="Yes", ('Mass Ion Calculations'!$D$15+'AA Exact Masses'!$Q$3+'AA Exact Masses'!$Q$2-'Mass Ion Calculations'!$C$9-'Mass Ion Calculations'!$C20)/2-'Mass Ion Calculations'!$D$5,('Mass Ion Calculations'!$F$15+'AA Exact Masses'!$Q$3+'AA Exact Masses'!$Q$2-'Mass Ion Calculations'!$E$9-'Mass Ion Calculations'!$E20)/2-'Mass Ion Calculations'!$D$5)))</f>
        <v>-392.09909999999991</v>
      </c>
      <c r="H19" s="3">
        <f>IF(OR($B19="",H$3=""),"",IF('Mass Ion Calculations'!$D$6="Yes",IF('Mass Ion Calculations'!$D$7="Yes",('Mass Ion Calculations'!$D$18+'AA Exact Masses'!$Q$3+'AA Exact Masses'!$Q$2-'Mass Ion Calculations'!$C$10-'Mass Ion Calculations'!$C20)/2-'Mass Ion Calculations'!$D$5,('Mass Ion Calculations'!$F$18+'AA Exact Masses'!$Q$3+'AA Exact Masses'!$Q$2-'Mass Ion Calculations'!$E$10-'Mass Ion Calculations'!$E20)/2-'Mass Ion Calculations'!$D$5),IF('Mass Ion Calculations'!$D$7="Yes", ('Mass Ion Calculations'!$D$15+'AA Exact Masses'!$Q$3+'AA Exact Masses'!$Q$2-'Mass Ion Calculations'!$C$10-'Mass Ion Calculations'!$C20)/2-'Mass Ion Calculations'!$D$5,('Mass Ion Calculations'!$F$15+'AA Exact Masses'!$Q$3+'AA Exact Masses'!$Q$2-'Mass Ion Calculations'!$E$10-'Mass Ion Calculations'!$E20)/2-'Mass Ion Calculations'!$D$5)))</f>
        <v>-413.12257499999987</v>
      </c>
      <c r="I19" s="3">
        <f>IF(OR($B19="",I$3=""),"",IF('Mass Ion Calculations'!$D$6="Yes",IF('Mass Ion Calculations'!$D$7="Yes",('Mass Ion Calculations'!$D$18+'AA Exact Masses'!$Q$3+'AA Exact Masses'!$Q$2-'Mass Ion Calculations'!$C$11-'Mass Ion Calculations'!$C20)/2-'Mass Ion Calculations'!$D$5,('Mass Ion Calculations'!$F$18+'AA Exact Masses'!$Q$3+'AA Exact Masses'!$Q$2-'Mass Ion Calculations'!$E$11-'Mass Ion Calculations'!$E20)/2-'Mass Ion Calculations'!$D$5),IF('Mass Ion Calculations'!$D$7="Yes", ('Mass Ion Calculations'!$D$15+'AA Exact Masses'!$Q$3+'AA Exact Masses'!$Q$2-'Mass Ion Calculations'!$C$11-'Mass Ion Calculations'!$C20)/2-'Mass Ion Calculations'!$D$5,('Mass Ion Calculations'!$F$15+'AA Exact Masses'!$Q$3+'AA Exact Masses'!$Q$2-'Mass Ion Calculations'!$E$11-'Mass Ion Calculations'!$E20)/2-'Mass Ion Calculations'!$D$5)))</f>
        <v>-413.62020499999994</v>
      </c>
      <c r="J19" s="3">
        <f>IF(OR($B19="",J$3=""),"",IF('Mass Ion Calculations'!$D$6="Yes",IF('Mass Ion Calculations'!$D$7="Yes",('Mass Ion Calculations'!$D$18+'AA Exact Masses'!$Q$3+'AA Exact Masses'!$Q$2-'Mass Ion Calculations'!$C$12-'Mass Ion Calculations'!$C20)/2-'Mass Ion Calculations'!$D$5,('Mass Ion Calculations'!$F$18+'AA Exact Masses'!$Q$3+'AA Exact Masses'!$Q$2-'Mass Ion Calculations'!$E$12-'Mass Ion Calculations'!$E20)/2-'Mass Ion Calculations'!$D$5),IF('Mass Ion Calculations'!$D$7="Yes", ('Mass Ion Calculations'!$D$15+'AA Exact Masses'!$Q$3+'AA Exact Masses'!$Q$2-'Mass Ion Calculations'!$C$12-'Mass Ion Calculations'!$C20)/2-'Mass Ion Calculations'!$D$5,('Mass Ion Calculations'!$F$15+'AA Exact Masses'!$Q$3+'AA Exact Masses'!$Q$2-'Mass Ion Calculations'!$E$12-'Mass Ion Calculations'!$E20)/2-'Mass Ion Calculations'!$D$5)))</f>
        <v>-406.11474999999996</v>
      </c>
      <c r="K19" s="3">
        <f>IF(OR($B19="",K$3=""),"",IF('Mass Ion Calculations'!$D$6="Yes",IF('Mass Ion Calculations'!$D$7="Yes",('Mass Ion Calculations'!$D$18+'AA Exact Masses'!$Q$3+'AA Exact Masses'!$Q$2-'Mass Ion Calculations'!$C$13-'Mass Ion Calculations'!$C20)/2-'Mass Ion Calculations'!$D$5,('Mass Ion Calculations'!$F$18+'AA Exact Masses'!$Q$3+'AA Exact Masses'!$Q$2-'Mass Ion Calculations'!$E$14-'Mass Ion Calculations'!$E20)/2-'Mass Ion Calculations'!$D$5),IF('Mass Ion Calculations'!$D$7="Yes", ('Mass Ion Calculations'!$D$15+'AA Exact Masses'!$Q$3+'AA Exact Masses'!$Q$2-'Mass Ion Calculations'!$C$13-'Mass Ion Calculations'!$C20)/2-'Mass Ion Calculations'!$D$5,('Mass Ion Calculations'!$F$15+'AA Exact Masses'!$Q$3+'AA Exact Masses'!$Q$2-'Mass Ion Calculations'!$E$14-'Mass Ion Calculations'!$E20)/2-'Mass Ion Calculations'!$D$5)))</f>
        <v>-421.10183999999992</v>
      </c>
      <c r="L19" s="3">
        <f>IF(OR($B19="",L$3=""),"",IF('Mass Ion Calculations'!$D$6="Yes",IF('Mass Ion Calculations'!$D$7="Yes",('Mass Ion Calculations'!$D$18+'AA Exact Masses'!$Q$3+'AA Exact Masses'!$Q$2-'Mass Ion Calculations'!$C$14-'Mass Ion Calculations'!$C20)/2-'Mass Ion Calculations'!$D$5,('Mass Ion Calculations'!$F$18+'AA Exact Masses'!$Q$3+'AA Exact Masses'!$Q$2-'Mass Ion Calculations'!$E$15-'Mass Ion Calculations'!$E20)/2-'Mass Ion Calculations'!$D$5),IF('Mass Ion Calculations'!$D$7="Yes", ('Mass Ion Calculations'!$D$15+'AA Exact Masses'!$Q$3+'AA Exact Masses'!$Q$2-'Mass Ion Calculations'!$C$14-'Mass Ion Calculations'!$C20)/2-'Mass Ion Calculations'!$D$5,('Mass Ion Calculations'!$F$15+'AA Exact Masses'!$Q$3+'AA Exact Masses'!$Q$2-'Mass Ion Calculations'!$E$15-'Mass Ion Calculations'!$E20)/2-'Mass Ion Calculations'!$D$5)))</f>
        <v>-414.0940149999999</v>
      </c>
      <c r="M19" s="3">
        <f>IF(OR($B19="",M$3=""),"",IF('Mass Ion Calculations'!$D$6="Yes",IF('Mass Ion Calculations'!$D$7="Yes",('Mass Ion Calculations'!$D$18+'AA Exact Masses'!$Q$3+'AA Exact Masses'!$Q$2-'Mass Ion Calculations'!$C$15-'Mass Ion Calculations'!$C20)/2-'Mass Ion Calculations'!$D$5,('Mass Ion Calculations'!$F$18+'AA Exact Masses'!$Q$3+'AA Exact Masses'!$Q$2-'Mass Ion Calculations'!$E$16-'Mass Ion Calculations'!$E20)/2-'Mass Ion Calculations'!$D$5),IF('Mass Ion Calculations'!$D$7="Yes", ('Mass Ion Calculations'!$D$15+'AA Exact Masses'!$Q$3+'AA Exact Masses'!$Q$2-'Mass Ion Calculations'!$C$15-'Mass Ion Calculations'!$C20)/2-'Mass Ion Calculations'!$D$5,('Mass Ion Calculations'!$F$15+'AA Exact Masses'!$Q$3+'AA Exact Masses'!$Q$2-'Mass Ion Calculations'!$E$16-'Mass Ion Calculations'!$E20)/2-'Mass Ion Calculations'!$D$5)))</f>
        <v>-392.09909999999991</v>
      </c>
      <c r="N19" s="3">
        <f>IF(OR($B19="",N$3=""),"",IF('Mass Ion Calculations'!$D$6="Yes",IF('Mass Ion Calculations'!$D$7="Yes",('Mass Ion Calculations'!$D$18+'AA Exact Masses'!$Q$3+'AA Exact Masses'!$Q$2-'Mass Ion Calculations'!$C$16-'Mass Ion Calculations'!$C20)/2-'Mass Ion Calculations'!$D$5,('Mass Ion Calculations'!$F$18+'AA Exact Masses'!$Q$3+'AA Exact Masses'!$Q$2-'Mass Ion Calculations'!$E$17-'Mass Ion Calculations'!$E20)/2-'Mass Ion Calculations'!$D$5),IF('Mass Ion Calculations'!$D$7="Yes", ('Mass Ion Calculations'!$D$15+'AA Exact Masses'!$Q$3+'AA Exact Masses'!$Q$2-'Mass Ion Calculations'!$C$16-'Mass Ion Calculations'!$C20)/2-'Mass Ion Calculations'!$D$5,('Mass Ion Calculations'!$F$15+'AA Exact Masses'!$Q$3+'AA Exact Masses'!$Q$2-'Mass Ion Calculations'!$E$17-'Mass Ion Calculations'!$E20)/2-'Mass Ion Calculations'!$D$5)))</f>
        <v>-430.11474999999996</v>
      </c>
      <c r="O19" s="3">
        <f>IF(OR($B19="",O$3=""),"",IF('Mass Ion Calculations'!$D$6="Yes",IF('Mass Ion Calculations'!$D$7="Yes",('Mass Ion Calculations'!$D$18+'AA Exact Masses'!$Q$3+'AA Exact Masses'!$Q$2-'Mass Ion Calculations'!$C$17-'Mass Ion Calculations'!$C20)/2-'Mass Ion Calculations'!$D$5,('Mass Ion Calculations'!$F$18+'AA Exact Masses'!$Q$3+'AA Exact Masses'!$Q$2-'Mass Ion Calculations'!$E$18-'Mass Ion Calculations'!$E20)/2-'Mass Ion Calculations'!$D$5),IF('Mass Ion Calculations'!$D$7="Yes", ('Mass Ion Calculations'!$D$15+'AA Exact Masses'!$Q$3+'AA Exact Masses'!$Q$2-'Mass Ion Calculations'!$C$17-'Mass Ion Calculations'!$C20)/2-'Mass Ion Calculations'!$D$5,('Mass Ion Calculations'!$F$15+'AA Exact Masses'!$Q$3+'AA Exact Masses'!$Q$2-'Mass Ion Calculations'!$E$18-'Mass Ion Calculations'!$E20)/2-'Mass Ion Calculations'!$D$5)))</f>
        <v>-493.06307499999991</v>
      </c>
      <c r="P19" s="3">
        <f>IF(OR($B19="",P$3=""),"",IF('Mass Ion Calculations'!$D$6="Yes",IF('Mass Ion Calculations'!$D$7="Yes",('Mass Ion Calculations'!$D$18+'AA Exact Masses'!$Q$3+'AA Exact Masses'!$Q$2-'Mass Ion Calculations'!$C$19-'Mass Ion Calculations'!$C20)/2-'Mass Ion Calculations'!$D$5,('Mass Ion Calculations'!$F$18+'AA Exact Masses'!$Q$3+'AA Exact Masses'!$Q$2-'Mass Ion Calculations'!$E$19-'Mass Ion Calculations'!$E20)/2-'Mass Ion Calculations'!$D$5),IF('Mass Ion Calculations'!$D$7="Yes", ('Mass Ion Calculations'!$D$15+'AA Exact Masses'!$Q$3+'AA Exact Masses'!$Q$2-'Mass Ion Calculations'!$C$19-'Mass Ion Calculations'!$C20)/2-'Mass Ion Calculations'!$D$5,('Mass Ion Calculations'!$F$15+'AA Exact Masses'!$Q$3+'AA Exact Masses'!$Q$2-'Mass Ion Calculations'!$E$19-'Mass Ion Calculations'!$E20)/2-'Mass Ion Calculations'!$D$5)))</f>
        <v>-406.11474999999996</v>
      </c>
      <c r="Q19" s="3">
        <f>IF(OR($B19="",Q$3=""),"",IF('Mass Ion Calculations'!$D$6="Yes",IF('Mass Ion Calculations'!$D$7="Yes",('Mass Ion Calculations'!$D$18+'AA Exact Masses'!$Q$3+'AA Exact Masses'!$Q$2-'Mass Ion Calculations'!$C$20-'Mass Ion Calculations'!$C20)/2-'Mass Ion Calculations'!$D$5,('Mass Ion Calculations'!$F$18+'AA Exact Masses'!$Q$3+'AA Exact Masses'!$Q$2-'Mass Ion Calculations'!$E$20-'Mass Ion Calculations'!$E20)/2-'Mass Ion Calculations'!$D$5),IF('Mass Ion Calculations'!$D$7="Yes", ('Mass Ion Calculations'!$D$15+'AA Exact Masses'!$Q$3+'AA Exact Masses'!$Q$2-'Mass Ion Calculations'!$C$20-'Mass Ion Calculations'!$C20)/2-'Mass Ion Calculations'!$D$5,('Mass Ion Calculations'!$F$15+'AA Exact Masses'!$Q$3+'AA Exact Masses'!$Q$2-'Mass Ion Calculations'!$E$20-'Mass Ion Calculations'!$E20)/2-'Mass Ion Calculations'!$D$5)))</f>
        <v>-413.12257499999987</v>
      </c>
      <c r="R19" s="3" t="e">
        <f>IF(OR($B19="",R$3=""),"",IF('Mass Ion Calculations'!$D$6="Yes",IF('Mass Ion Calculations'!$D$7="Yes",('Mass Ion Calculations'!$D$18+'AA Exact Masses'!$Q$3+'AA Exact Masses'!$Q$2-'Mass Ion Calculations'!$C$21-'Mass Ion Calculations'!$C20)/2-'Mass Ion Calculations'!$D$5,('Mass Ion Calculations'!$F$18+'AA Exact Masses'!$Q$3+'AA Exact Masses'!$Q$2-'Mass Ion Calculations'!$E$21-'Mass Ion Calculations'!$E20)/2-'Mass Ion Calculations'!$D$5),IF('Mass Ion Calculations'!$D$7="Yes", ('Mass Ion Calculations'!$D$15+'AA Exact Masses'!$Q$3+'AA Exact Masses'!$Q$2-'Mass Ion Calculations'!$C$21-'Mass Ion Calculations'!$C20)/2-'Mass Ion Calculations'!$D$5,('Mass Ion Calculations'!$F$15+'AA Exact Masses'!$Q$3+'AA Exact Masses'!$Q$2-'Mass Ion Calculations'!$E$21-'Mass Ion Calculations'!$E20)/2-'Mass Ion Calculations'!$D$5)))</f>
        <v>#VALUE!</v>
      </c>
      <c r="S19" s="3" t="str">
        <f>IF(OR($B19="",S$3=""),"",IF('Mass Ion Calculations'!$D$6="Yes",IF('Mass Ion Calculations'!$D$7="Yes",('Mass Ion Calculations'!$D$18+'AA Exact Masses'!$Q$3+'AA Exact Masses'!$Q$2-'Mass Ion Calculations'!$C$22-'Mass Ion Calculations'!$C20)/2-'Mass Ion Calculations'!$D$5,('Mass Ion Calculations'!$F$18+'AA Exact Masses'!$Q$3+'AA Exact Masses'!$Q$2-'Mass Ion Calculations'!$E$22-'Mass Ion Calculations'!$E20)/2-'Mass Ion Calculations'!$D$5),IF('Mass Ion Calculations'!$D$7="Yes", ('Mass Ion Calculations'!$D$15+'AA Exact Masses'!$Q$3+'AA Exact Masses'!$Q$2-'Mass Ion Calculations'!$C$22-'Mass Ion Calculations'!$C20)/2-'Mass Ion Calculations'!$D$5,('Mass Ion Calculations'!$F$15+'AA Exact Masses'!$Q$3+'AA Exact Masses'!$Q$2-'Mass Ion Calculations'!$E$22-'Mass Ion Calculations'!$E20)/2-'Mass Ion Calculations'!$D$5)))</f>
        <v/>
      </c>
      <c r="T19" s="3" t="e">
        <f>IF(OR($B19="",T$3=""),"",IF('Mass Ion Calculations'!$D$6="Yes",IF('Mass Ion Calculations'!$D$7="Yes",('Mass Ion Calculations'!$D$18+'AA Exact Masses'!$Q$3+'AA Exact Masses'!$Q$2-'Mass Ion Calculations'!$C$22-'Mass Ion Calculations'!$C20)/2-'Mass Ion Calculations'!$D$5,('Mass Ion Calculations'!$F$18+'AA Exact Masses'!$Q$3+'AA Exact Masses'!$Q$2-'Mass Ion Calculations'!$E$22-'Mass Ion Calculations'!$E20)/2-'Mass Ion Calculations'!$D$5),IF('Mass Ion Calculations'!$D$7="Yes", ('Mass Ion Calculations'!$D$15+'AA Exact Masses'!$Q$3+'AA Exact Masses'!$Q$2-'Mass Ion Calculations'!$C$22-'Mass Ion Calculations'!$C20)/2-'Mass Ion Calculations'!$D$5,('Mass Ion Calculations'!$F$15+'AA Exact Masses'!$Q$3+'AA Exact Masses'!$Q$2-'Mass Ion Calculations'!$E$22-'Mass Ion Calculations'!$E20)/2-'Mass Ion Calculations'!$D$5)))</f>
        <v>#VALUE!</v>
      </c>
      <c r="U19" s="3" t="e">
        <f>IF(OR($B19="",U$3=""),"",IF('Mass Ion Calculations'!$D$6="Yes",IF('Mass Ion Calculations'!$D$7="Yes",('Mass Ion Calculations'!$D$18+'AA Exact Masses'!$Q$3+'AA Exact Masses'!$Q$2-'Mass Ion Calculations'!$C$23-'Mass Ion Calculations'!$C20)/2-'Mass Ion Calculations'!$D$5,('Mass Ion Calculations'!$F$18+'AA Exact Masses'!$Q$3+'AA Exact Masses'!$Q$2-'Mass Ion Calculations'!$E$23-'Mass Ion Calculations'!$E20)/2-'Mass Ion Calculations'!$D$5),IF('Mass Ion Calculations'!$D$7="Yes", ('Mass Ion Calculations'!$D$15+'AA Exact Masses'!$Q$3+'AA Exact Masses'!$Q$2-'Mass Ion Calculations'!$C$23-'Mass Ion Calculations'!$C20)/2-'Mass Ion Calculations'!$D$5,('Mass Ion Calculations'!$F$15+'AA Exact Masses'!$Q$3+'AA Exact Masses'!$Q$2-'Mass Ion Calculations'!$E$23-'Mass Ion Calculations'!$E20)/2-'Mass Ion Calculations'!$D$5)))</f>
        <v>#VALUE!</v>
      </c>
      <c r="V19" s="3" t="str">
        <f>IF(OR($B19="",V$3=""),"",IF('Mass Ion Calculations'!$D$6="Yes",IF('Mass Ion Calculations'!$D$7="Yes",('Mass Ion Calculations'!$D$18+'AA Exact Masses'!$Q$3+'AA Exact Masses'!$Q$2-'Mass Ion Calculations'!$C$24-'Mass Ion Calculations'!$C20)/2-'Mass Ion Calculations'!$D$5,('Mass Ion Calculations'!$F$18+'AA Exact Masses'!$Q$3+'AA Exact Masses'!$Q$2-'Mass Ion Calculations'!$E$24-'Mass Ion Calculations'!$E20)/2-'Mass Ion Calculations'!$D$5),IF('Mass Ion Calculations'!$D$7="Yes", ('Mass Ion Calculations'!$D$15+'AA Exact Masses'!$Q$3+'AA Exact Masses'!$Q$2-'Mass Ion Calculations'!$C$24-'Mass Ion Calculations'!$C20)/2-'Mass Ion Calculations'!$D$5,('Mass Ion Calculations'!$F$15+'AA Exact Masses'!$Q$3+'AA Exact Masses'!$Q$2-'Mass Ion Calculations'!$E$24-'Mass Ion Calculations'!$E20)/2-'Mass Ion Calculations'!$D$5)))</f>
        <v/>
      </c>
      <c r="W19" s="3" t="str">
        <f>IF(OR($B19="",W$3=""),"",IF('Mass Ion Calculations'!$D$6="Yes",IF('Mass Ion Calculations'!$D$7="Yes",('Mass Ion Calculations'!$D$18+'AA Exact Masses'!$Q$3+'AA Exact Masses'!$Q$2-'Mass Ion Calculations'!$C$25-'Mass Ion Calculations'!$C20)/2-'Mass Ion Calculations'!$D$5,('Mass Ion Calculations'!$F$18+'AA Exact Masses'!$Q$3+'AA Exact Masses'!$Q$2-'Mass Ion Calculations'!$E$25-'Mass Ion Calculations'!$E20)/2-'Mass Ion Calculations'!$D$5),IF('Mass Ion Calculations'!$D$7="Yes", ('Mass Ion Calculations'!$D$15+'AA Exact Masses'!$Q$3+'AA Exact Masses'!$Q$2-'Mass Ion Calculations'!$C$25-'Mass Ion Calculations'!$C20)/2-'Mass Ion Calculations'!$D$5,('Mass Ion Calculations'!$F$15+'AA Exact Masses'!$Q$3+'AA Exact Masses'!$Q$2-'Mass Ion Calculations'!$E$25-'Mass Ion Calculations'!$E20)/2-'Mass Ion Calculations'!$D$5)))</f>
        <v/>
      </c>
      <c r="X19" s="3" t="str">
        <f>IF(OR($B19="",X$3=""),"",IF('Mass Ion Calculations'!$D$6="Yes",IF('Mass Ion Calculations'!$D$7="Yes",('Mass Ion Calculations'!$D$18+'AA Exact Masses'!$Q$3+'AA Exact Masses'!$Q$2-'Mass Ion Calculations'!$C$26-'Mass Ion Calculations'!$C20)/2-'Mass Ion Calculations'!$D$5,('Mass Ion Calculations'!$F$18+'AA Exact Masses'!$Q$3+'AA Exact Masses'!$Q$2-'Mass Ion Calculations'!$E$26-'Mass Ion Calculations'!$E20)/2-'Mass Ion Calculations'!$D$5),IF('Mass Ion Calculations'!$D$7="Yes", ('Mass Ion Calculations'!$D$15+'AA Exact Masses'!$Q$3+'AA Exact Masses'!$Q$2-'Mass Ion Calculations'!$C$26-'Mass Ion Calculations'!$C20)/2-'Mass Ion Calculations'!$D$5,('Mass Ion Calculations'!$F$15+'AA Exact Masses'!$Q$3+'AA Exact Masses'!$Q$2-'Mass Ion Calculations'!$E$26-'Mass Ion Calculations'!$E20)/2-'Mass Ion Calculations'!$D$5)))</f>
        <v/>
      </c>
      <c r="Y19" s="3" t="str">
        <f>IF(OR($B19="",Y$3=""),"",IF('Mass Ion Calculations'!$D$6="Yes",IF('Mass Ion Calculations'!$D$7="Yes",('Mass Ion Calculations'!$D$18+'AA Exact Masses'!$Q$3+'AA Exact Masses'!$Q$2-'Mass Ion Calculations'!$C$27-'Mass Ion Calculations'!$C20)/2-'Mass Ion Calculations'!$D$5,('Mass Ion Calculations'!$F$18+'AA Exact Masses'!$Q$3+'AA Exact Masses'!$Q$2-'Mass Ion Calculations'!$E$27-'Mass Ion Calculations'!$E20)/2-'Mass Ion Calculations'!$D$5),IF('Mass Ion Calculations'!$D$7="Yes", ('Mass Ion Calculations'!$D$15+'AA Exact Masses'!$Q$3+'AA Exact Masses'!$Q$2-'Mass Ion Calculations'!$C$27-'Mass Ion Calculations'!$C20)/2-'Mass Ion Calculations'!$D$5,('Mass Ion Calculations'!$F$15+'AA Exact Masses'!$Q$3+'AA Exact Masses'!$Q$2-'Mass Ion Calculations'!$E$27-'Mass Ion Calculations'!$E20)/2-'Mass Ion Calculations'!$D$5)))</f>
        <v/>
      </c>
      <c r="Z19" s="3" t="str">
        <f>IF(OR($B19="",Z$3=""),"",IF('Mass Ion Calculations'!$D$6="Yes",IF('Mass Ion Calculations'!$D$7="Yes",('Mass Ion Calculations'!$D$18+'AA Exact Masses'!$Q$3+'AA Exact Masses'!$Q$2-'Mass Ion Calculations'!$C$28-'Mass Ion Calculations'!$C20)/2-'Mass Ion Calculations'!$D$5,('Mass Ion Calculations'!$F$18+'AA Exact Masses'!$Q$3+'AA Exact Masses'!$Q$2-'Mass Ion Calculations'!$E$28-'Mass Ion Calculations'!$E20)/2-'Mass Ion Calculations'!$D$5),IF('Mass Ion Calculations'!$D$7="Yes", ('Mass Ion Calculations'!$D$15+'AA Exact Masses'!$Q$3+'AA Exact Masses'!$Q$2-'Mass Ion Calculations'!$C$28-'Mass Ion Calculations'!$C20)/2-'Mass Ion Calculations'!$D$5,('Mass Ion Calculations'!$F$15+'AA Exact Masses'!$Q$3+'AA Exact Masses'!$Q$2-'Mass Ion Calculations'!$E$28-'Mass Ion Calculations'!$E20)/2-'Mass Ion Calculations'!$D$5)))</f>
        <v/>
      </c>
    </row>
    <row r="20" spans="2:26" x14ac:dyDescent="0.25">
      <c r="B20" s="4" t="str">
        <f>IF('Mass Ion Calculations'!B21="","", 'Mass Ion Calculations'!B21)</f>
        <v/>
      </c>
      <c r="C20" s="3" t="str">
        <f>IF(OR($B20="",C$3=""),"",IF('Mass Ion Calculations'!$D$6="Yes",IF('Mass Ion Calculations'!$D$7="Yes",('Mass Ion Calculations'!$D$18+'AA Exact Masses'!$Q$3+'AA Exact Masses'!$Q$2-'Mass Ion Calculations'!$C$5-'Mass Ion Calculations'!$C21)/2-'Mass Ion Calculations'!$D$5,('Mass Ion Calculations'!$F$18+'AA Exact Masses'!$Q$3+'AA Exact Masses'!$Q$2-'Mass Ion Calculations'!$E$5-'Mass Ion Calculations'!$E21)/2-'Mass Ion Calculations'!$D$5),IF('Mass Ion Calculations'!$D$7="Yes", ('Mass Ion Calculations'!$D$15+'AA Exact Masses'!$Q$3+'AA Exact Masses'!$Q$2-'Mass Ion Calculations'!$C$5-'Mass Ion Calculations'!$C21)/2-'Mass Ion Calculations'!$D$5,('Mass Ion Calculations'!$F$15+'AA Exact Masses'!$Q$3+'AA Exact Masses'!$Q$2-'Mass Ion Calculations'!$E$5-'Mass Ion Calculations'!$E21)/2-'Mass Ion Calculations'!$D$5)))</f>
        <v/>
      </c>
      <c r="D20" s="3" t="str">
        <f>IF(OR($B20="",D$3=""),"",IF('Mass Ion Calculations'!$D$6="Yes",IF('Mass Ion Calculations'!$D$7="Yes",('Mass Ion Calculations'!$D$18+'AA Exact Masses'!$Q$3+'AA Exact Masses'!$Q$2-'Mass Ion Calculations'!$C$6-'Mass Ion Calculations'!$C21)/2-'Mass Ion Calculations'!$D$5,('Mass Ion Calculations'!$F$18+'AA Exact Masses'!$Q$3+'AA Exact Masses'!$Q$2-'Mass Ion Calculations'!$E$6-'Mass Ion Calculations'!$E21)/2-'Mass Ion Calculations'!$D$5),IF('Mass Ion Calculations'!$D$7="Yes", ('Mass Ion Calculations'!$D$15+'AA Exact Masses'!$Q$3+'AA Exact Masses'!$Q$2-'Mass Ion Calculations'!$C$6-'Mass Ion Calculations'!$C21)/2-'Mass Ion Calculations'!$D$5,('Mass Ion Calculations'!$F$15+'AA Exact Masses'!$Q$3+'AA Exact Masses'!$Q$2-'Mass Ion Calculations'!$E$6-'Mass Ion Calculations'!$E21)/2-'Mass Ion Calculations'!$D$5)))</f>
        <v/>
      </c>
      <c r="E20" s="3" t="str">
        <f>IF(OR($B20="",E$3=""),"",IF('Mass Ion Calculations'!$D$6="Yes",IF('Mass Ion Calculations'!$D$7="Yes",('Mass Ion Calculations'!$D$18+'AA Exact Masses'!$Q$3+'AA Exact Masses'!$Q$2-'Mass Ion Calculations'!$C$7-'Mass Ion Calculations'!$C21)/2-'Mass Ion Calculations'!$D$5,('Mass Ion Calculations'!$F$18+'AA Exact Masses'!$Q$3+'AA Exact Masses'!$Q$2-'Mass Ion Calculations'!$E$7-'Mass Ion Calculations'!$E21)/2-'Mass Ion Calculations'!$D$5),IF('Mass Ion Calculations'!$D$7="Yes", ('Mass Ion Calculations'!$D$15+'AA Exact Masses'!$Q$3+'AA Exact Masses'!$Q$2-'Mass Ion Calculations'!$C$7-'Mass Ion Calculations'!$C21)/2-'Mass Ion Calculations'!$D$5,('Mass Ion Calculations'!$F$15+'AA Exact Masses'!$Q$3+'AA Exact Masses'!$Q$2-'Mass Ion Calculations'!$E$7-'Mass Ion Calculations'!$E21)/2-'Mass Ion Calculations'!$D$5)))</f>
        <v/>
      </c>
      <c r="F20" s="3" t="str">
        <f>IF(OR($B20="",F$3=""),"",IF('Mass Ion Calculations'!$D$6="Yes",IF('Mass Ion Calculations'!$D$7="Yes",('Mass Ion Calculations'!$D$18+'AA Exact Masses'!$Q$3+'AA Exact Masses'!$Q$2-'Mass Ion Calculations'!$C$8-'Mass Ion Calculations'!$C21)/2-'Mass Ion Calculations'!$D$5,('Mass Ion Calculations'!$F$18+'AA Exact Masses'!$Q$3+'AA Exact Masses'!$Q$2-'Mass Ion Calculations'!$E$8-'Mass Ion Calculations'!$E21)/2-'Mass Ion Calculations'!$D$5),IF('Mass Ion Calculations'!$D$7="Yes", ('Mass Ion Calculations'!$D$15+'AA Exact Masses'!$Q$3+'AA Exact Masses'!$Q$2-'Mass Ion Calculations'!$C$8-'Mass Ion Calculations'!$C21)/2-'Mass Ion Calculations'!$D$5,('Mass Ion Calculations'!$F$15+'AA Exact Masses'!$Q$3+'AA Exact Masses'!$Q$2-'Mass Ion Calculations'!$E$8-'Mass Ion Calculations'!$E21)/2-'Mass Ion Calculations'!$D$5)))</f>
        <v/>
      </c>
      <c r="G20" s="3" t="str">
        <f>IF(OR($B20="",G$3=""),"",IF('Mass Ion Calculations'!$D$6="Yes",IF('Mass Ion Calculations'!$D$7="Yes",('Mass Ion Calculations'!$D$18+'AA Exact Masses'!$Q$3+'AA Exact Masses'!$Q$2-'Mass Ion Calculations'!$C$9-'Mass Ion Calculations'!$C21)/2-'Mass Ion Calculations'!$D$5,('Mass Ion Calculations'!$F$18+'AA Exact Masses'!$Q$3+'AA Exact Masses'!$Q$2-'Mass Ion Calculations'!$E$9-'Mass Ion Calculations'!$E21)/2-'Mass Ion Calculations'!$D$5),IF('Mass Ion Calculations'!$D$7="Yes", ('Mass Ion Calculations'!$D$15+'AA Exact Masses'!$Q$3+'AA Exact Masses'!$Q$2-'Mass Ion Calculations'!$C$9-'Mass Ion Calculations'!$C21)/2-'Mass Ion Calculations'!$D$5,('Mass Ion Calculations'!$F$15+'AA Exact Masses'!$Q$3+'AA Exact Masses'!$Q$2-'Mass Ion Calculations'!$E$9-'Mass Ion Calculations'!$E21)/2-'Mass Ion Calculations'!$D$5)))</f>
        <v/>
      </c>
      <c r="H20" s="3" t="str">
        <f>IF(OR($B20="",H$3=""),"",IF('Mass Ion Calculations'!$D$6="Yes",IF('Mass Ion Calculations'!$D$7="Yes",('Mass Ion Calculations'!$D$18+'AA Exact Masses'!$Q$3+'AA Exact Masses'!$Q$2-'Mass Ion Calculations'!$C$10-'Mass Ion Calculations'!$C21)/2-'Mass Ion Calculations'!$D$5,('Mass Ion Calculations'!$F$18+'AA Exact Masses'!$Q$3+'AA Exact Masses'!$Q$2-'Mass Ion Calculations'!$E$10-'Mass Ion Calculations'!$E21)/2-'Mass Ion Calculations'!$D$5),IF('Mass Ion Calculations'!$D$7="Yes", ('Mass Ion Calculations'!$D$15+'AA Exact Masses'!$Q$3+'AA Exact Masses'!$Q$2-'Mass Ion Calculations'!$C$10-'Mass Ion Calculations'!$C21)/2-'Mass Ion Calculations'!$D$5,('Mass Ion Calculations'!$F$15+'AA Exact Masses'!$Q$3+'AA Exact Masses'!$Q$2-'Mass Ion Calculations'!$E$10-'Mass Ion Calculations'!$E21)/2-'Mass Ion Calculations'!$D$5)))</f>
        <v/>
      </c>
      <c r="I20" s="3" t="str">
        <f>IF(OR($B20="",I$3=""),"",IF('Mass Ion Calculations'!$D$6="Yes",IF('Mass Ion Calculations'!$D$7="Yes",('Mass Ion Calculations'!$D$18+'AA Exact Masses'!$Q$3+'AA Exact Masses'!$Q$2-'Mass Ion Calculations'!$C$11-'Mass Ion Calculations'!$C21)/2-'Mass Ion Calculations'!$D$5,('Mass Ion Calculations'!$F$18+'AA Exact Masses'!$Q$3+'AA Exact Masses'!$Q$2-'Mass Ion Calculations'!$E$11-'Mass Ion Calculations'!$E21)/2-'Mass Ion Calculations'!$D$5),IF('Mass Ion Calculations'!$D$7="Yes", ('Mass Ion Calculations'!$D$15+'AA Exact Masses'!$Q$3+'AA Exact Masses'!$Q$2-'Mass Ion Calculations'!$C$11-'Mass Ion Calculations'!$C21)/2-'Mass Ion Calculations'!$D$5,('Mass Ion Calculations'!$F$15+'AA Exact Masses'!$Q$3+'AA Exact Masses'!$Q$2-'Mass Ion Calculations'!$E$11-'Mass Ion Calculations'!$E21)/2-'Mass Ion Calculations'!$D$5)))</f>
        <v/>
      </c>
      <c r="J20" s="3" t="str">
        <f>IF(OR($B20="",J$3=""),"",IF('Mass Ion Calculations'!$D$6="Yes",IF('Mass Ion Calculations'!$D$7="Yes",('Mass Ion Calculations'!$D$18+'AA Exact Masses'!$Q$3+'AA Exact Masses'!$Q$2-'Mass Ion Calculations'!$C$12-'Mass Ion Calculations'!$C21)/2-'Mass Ion Calculations'!$D$5,('Mass Ion Calculations'!$F$18+'AA Exact Masses'!$Q$3+'AA Exact Masses'!$Q$2-'Mass Ion Calculations'!$E$12-'Mass Ion Calculations'!$E21)/2-'Mass Ion Calculations'!$D$5),IF('Mass Ion Calculations'!$D$7="Yes", ('Mass Ion Calculations'!$D$15+'AA Exact Masses'!$Q$3+'AA Exact Masses'!$Q$2-'Mass Ion Calculations'!$C$12-'Mass Ion Calculations'!$C21)/2-'Mass Ion Calculations'!$D$5,('Mass Ion Calculations'!$F$15+'AA Exact Masses'!$Q$3+'AA Exact Masses'!$Q$2-'Mass Ion Calculations'!$E$12-'Mass Ion Calculations'!$E21)/2-'Mass Ion Calculations'!$D$5)))</f>
        <v/>
      </c>
      <c r="K20" s="3" t="str">
        <f>IF(OR($B20="",K$3=""),"",IF('Mass Ion Calculations'!$D$6="Yes",IF('Mass Ion Calculations'!$D$7="Yes",('Mass Ion Calculations'!$D$18+'AA Exact Masses'!$Q$3+'AA Exact Masses'!$Q$2-'Mass Ion Calculations'!$C$13-'Mass Ion Calculations'!$C21)/2-'Mass Ion Calculations'!$D$5,('Mass Ion Calculations'!$F$18+'AA Exact Masses'!$Q$3+'AA Exact Masses'!$Q$2-'Mass Ion Calculations'!$E$14-'Mass Ion Calculations'!$E21)/2-'Mass Ion Calculations'!$D$5),IF('Mass Ion Calculations'!$D$7="Yes", ('Mass Ion Calculations'!$D$15+'AA Exact Masses'!$Q$3+'AA Exact Masses'!$Q$2-'Mass Ion Calculations'!$C$13-'Mass Ion Calculations'!$C21)/2-'Mass Ion Calculations'!$D$5,('Mass Ion Calculations'!$F$15+'AA Exact Masses'!$Q$3+'AA Exact Masses'!$Q$2-'Mass Ion Calculations'!$E$14-'Mass Ion Calculations'!$E21)/2-'Mass Ion Calculations'!$D$5)))</f>
        <v/>
      </c>
      <c r="L20" s="3" t="str">
        <f>IF(OR($B20="",L$3=""),"",IF('Mass Ion Calculations'!$D$6="Yes",IF('Mass Ion Calculations'!$D$7="Yes",('Mass Ion Calculations'!$D$18+'AA Exact Masses'!$Q$3+'AA Exact Masses'!$Q$2-'Mass Ion Calculations'!$C$14-'Mass Ion Calculations'!$C21)/2-'Mass Ion Calculations'!$D$5,('Mass Ion Calculations'!$F$18+'AA Exact Masses'!$Q$3+'AA Exact Masses'!$Q$2-'Mass Ion Calculations'!$E$15-'Mass Ion Calculations'!$E21)/2-'Mass Ion Calculations'!$D$5),IF('Mass Ion Calculations'!$D$7="Yes", ('Mass Ion Calculations'!$D$15+'AA Exact Masses'!$Q$3+'AA Exact Masses'!$Q$2-'Mass Ion Calculations'!$C$14-'Mass Ion Calculations'!$C21)/2-'Mass Ion Calculations'!$D$5,('Mass Ion Calculations'!$F$15+'AA Exact Masses'!$Q$3+'AA Exact Masses'!$Q$2-'Mass Ion Calculations'!$E$15-'Mass Ion Calculations'!$E21)/2-'Mass Ion Calculations'!$D$5)))</f>
        <v/>
      </c>
      <c r="M20" s="3" t="str">
        <f>IF(OR($B20="",M$3=""),"",IF('Mass Ion Calculations'!$D$6="Yes",IF('Mass Ion Calculations'!$D$7="Yes",('Mass Ion Calculations'!$D$18+'AA Exact Masses'!$Q$3+'AA Exact Masses'!$Q$2-'Mass Ion Calculations'!$C$15-'Mass Ion Calculations'!$C21)/2-'Mass Ion Calculations'!$D$5,('Mass Ion Calculations'!$F$18+'AA Exact Masses'!$Q$3+'AA Exact Masses'!$Q$2-'Mass Ion Calculations'!$E$16-'Mass Ion Calculations'!$E21)/2-'Mass Ion Calculations'!$D$5),IF('Mass Ion Calculations'!$D$7="Yes", ('Mass Ion Calculations'!$D$15+'AA Exact Masses'!$Q$3+'AA Exact Masses'!$Q$2-'Mass Ion Calculations'!$C$15-'Mass Ion Calculations'!$C21)/2-'Mass Ion Calculations'!$D$5,('Mass Ion Calculations'!$F$15+'AA Exact Masses'!$Q$3+'AA Exact Masses'!$Q$2-'Mass Ion Calculations'!$E$16-'Mass Ion Calculations'!$E21)/2-'Mass Ion Calculations'!$D$5)))</f>
        <v/>
      </c>
      <c r="N20" s="3" t="str">
        <f>IF(OR($B20="",N$3=""),"",IF('Mass Ion Calculations'!$D$6="Yes",IF('Mass Ion Calculations'!$D$7="Yes",('Mass Ion Calculations'!$D$18+'AA Exact Masses'!$Q$3+'AA Exact Masses'!$Q$2-'Mass Ion Calculations'!$C$16-'Mass Ion Calculations'!$C21)/2-'Mass Ion Calculations'!$D$5,('Mass Ion Calculations'!$F$18+'AA Exact Masses'!$Q$3+'AA Exact Masses'!$Q$2-'Mass Ion Calculations'!$E$17-'Mass Ion Calculations'!$E21)/2-'Mass Ion Calculations'!$D$5),IF('Mass Ion Calculations'!$D$7="Yes", ('Mass Ion Calculations'!$D$15+'AA Exact Masses'!$Q$3+'AA Exact Masses'!$Q$2-'Mass Ion Calculations'!$C$16-'Mass Ion Calculations'!$C21)/2-'Mass Ion Calculations'!$D$5,('Mass Ion Calculations'!$F$15+'AA Exact Masses'!$Q$3+'AA Exact Masses'!$Q$2-'Mass Ion Calculations'!$E$17-'Mass Ion Calculations'!$E21)/2-'Mass Ion Calculations'!$D$5)))</f>
        <v/>
      </c>
      <c r="O20" s="3" t="str">
        <f>IF(OR($B20="",O$3=""),"",IF('Mass Ion Calculations'!$D$6="Yes",IF('Mass Ion Calculations'!$D$7="Yes",('Mass Ion Calculations'!$D$18+'AA Exact Masses'!$Q$3+'AA Exact Masses'!$Q$2-'Mass Ion Calculations'!$C$17-'Mass Ion Calculations'!$C21)/2-'Mass Ion Calculations'!$D$5,('Mass Ion Calculations'!$F$18+'AA Exact Masses'!$Q$3+'AA Exact Masses'!$Q$2-'Mass Ion Calculations'!$E$18-'Mass Ion Calculations'!$E21)/2-'Mass Ion Calculations'!$D$5),IF('Mass Ion Calculations'!$D$7="Yes", ('Mass Ion Calculations'!$D$15+'AA Exact Masses'!$Q$3+'AA Exact Masses'!$Q$2-'Mass Ion Calculations'!$C$17-'Mass Ion Calculations'!$C21)/2-'Mass Ion Calculations'!$D$5,('Mass Ion Calculations'!$F$15+'AA Exact Masses'!$Q$3+'AA Exact Masses'!$Q$2-'Mass Ion Calculations'!$E$18-'Mass Ion Calculations'!$E21)/2-'Mass Ion Calculations'!$D$5)))</f>
        <v/>
      </c>
      <c r="P20" s="3" t="str">
        <f>IF(OR($B20="",P$3=""),"",IF('Mass Ion Calculations'!$D$6="Yes",IF('Mass Ion Calculations'!$D$7="Yes",('Mass Ion Calculations'!$D$18+'AA Exact Masses'!$Q$3+'AA Exact Masses'!$Q$2-'Mass Ion Calculations'!$C$19-'Mass Ion Calculations'!$C21)/2-'Mass Ion Calculations'!$D$5,('Mass Ion Calculations'!$F$18+'AA Exact Masses'!$Q$3+'AA Exact Masses'!$Q$2-'Mass Ion Calculations'!$E$19-'Mass Ion Calculations'!$E21)/2-'Mass Ion Calculations'!$D$5),IF('Mass Ion Calculations'!$D$7="Yes", ('Mass Ion Calculations'!$D$15+'AA Exact Masses'!$Q$3+'AA Exact Masses'!$Q$2-'Mass Ion Calculations'!$C$19-'Mass Ion Calculations'!$C21)/2-'Mass Ion Calculations'!$D$5,('Mass Ion Calculations'!$F$15+'AA Exact Masses'!$Q$3+'AA Exact Masses'!$Q$2-'Mass Ion Calculations'!$E$19-'Mass Ion Calculations'!$E21)/2-'Mass Ion Calculations'!$D$5)))</f>
        <v/>
      </c>
      <c r="Q20" s="3" t="str">
        <f>IF(OR($B20="",Q$3=""),"",IF('Mass Ion Calculations'!$D$6="Yes",IF('Mass Ion Calculations'!$D$7="Yes",('Mass Ion Calculations'!$D$18+'AA Exact Masses'!$Q$3+'AA Exact Masses'!$Q$2-'Mass Ion Calculations'!$C$20-'Mass Ion Calculations'!$C21)/2-'Mass Ion Calculations'!$D$5,('Mass Ion Calculations'!$F$18+'AA Exact Masses'!$Q$3+'AA Exact Masses'!$Q$2-'Mass Ion Calculations'!$E$20-'Mass Ion Calculations'!$E21)/2-'Mass Ion Calculations'!$D$5),IF('Mass Ion Calculations'!$D$7="Yes", ('Mass Ion Calculations'!$D$15+'AA Exact Masses'!$Q$3+'AA Exact Masses'!$Q$2-'Mass Ion Calculations'!$C$20-'Mass Ion Calculations'!$C21)/2-'Mass Ion Calculations'!$D$5,('Mass Ion Calculations'!$F$15+'AA Exact Masses'!$Q$3+'AA Exact Masses'!$Q$2-'Mass Ion Calculations'!$E$20-'Mass Ion Calculations'!$E21)/2-'Mass Ion Calculations'!$D$5)))</f>
        <v/>
      </c>
      <c r="R20" s="3" t="str">
        <f>IF(OR($B20="",R$3=""),"",IF('Mass Ion Calculations'!$D$6="Yes",IF('Mass Ion Calculations'!$D$7="Yes",('Mass Ion Calculations'!$D$18+'AA Exact Masses'!$Q$3+'AA Exact Masses'!$Q$2-'Mass Ion Calculations'!$C$21-'Mass Ion Calculations'!$C21)/2-'Mass Ion Calculations'!$D$5,('Mass Ion Calculations'!$F$18+'AA Exact Masses'!$Q$3+'AA Exact Masses'!$Q$2-'Mass Ion Calculations'!$E$21-'Mass Ion Calculations'!$E21)/2-'Mass Ion Calculations'!$D$5),IF('Mass Ion Calculations'!$D$7="Yes", ('Mass Ion Calculations'!$D$15+'AA Exact Masses'!$Q$3+'AA Exact Masses'!$Q$2-'Mass Ion Calculations'!$C$21-'Mass Ion Calculations'!$C21)/2-'Mass Ion Calculations'!$D$5,('Mass Ion Calculations'!$F$15+'AA Exact Masses'!$Q$3+'AA Exact Masses'!$Q$2-'Mass Ion Calculations'!$E$21-'Mass Ion Calculations'!$E21)/2-'Mass Ion Calculations'!$D$5)))</f>
        <v/>
      </c>
      <c r="S20" s="3" t="str">
        <f>IF(OR($B20="",S$3=""),"",IF('Mass Ion Calculations'!$D$6="Yes",IF('Mass Ion Calculations'!$D$7="Yes",('Mass Ion Calculations'!$D$18+'AA Exact Masses'!$Q$3+'AA Exact Masses'!$Q$2-'Mass Ion Calculations'!$C$22-'Mass Ion Calculations'!$C21)/2-'Mass Ion Calculations'!$D$5,('Mass Ion Calculations'!$F$18+'AA Exact Masses'!$Q$3+'AA Exact Masses'!$Q$2-'Mass Ion Calculations'!$E$22-'Mass Ion Calculations'!$E21)/2-'Mass Ion Calculations'!$D$5),IF('Mass Ion Calculations'!$D$7="Yes", ('Mass Ion Calculations'!$D$15+'AA Exact Masses'!$Q$3+'AA Exact Masses'!$Q$2-'Mass Ion Calculations'!$C$22-'Mass Ion Calculations'!$C21)/2-'Mass Ion Calculations'!$D$5,('Mass Ion Calculations'!$F$15+'AA Exact Masses'!$Q$3+'AA Exact Masses'!$Q$2-'Mass Ion Calculations'!$E$22-'Mass Ion Calculations'!$E21)/2-'Mass Ion Calculations'!$D$5)))</f>
        <v/>
      </c>
      <c r="T20" s="3" t="str">
        <f>IF(OR($B20="",T$3=""),"",IF('Mass Ion Calculations'!$D$6="Yes",IF('Mass Ion Calculations'!$D$7="Yes",('Mass Ion Calculations'!$D$18+'AA Exact Masses'!$Q$3+'AA Exact Masses'!$Q$2-'Mass Ion Calculations'!$C$22-'Mass Ion Calculations'!$C21)/2-'Mass Ion Calculations'!$D$5,('Mass Ion Calculations'!$F$18+'AA Exact Masses'!$Q$3+'AA Exact Masses'!$Q$2-'Mass Ion Calculations'!$E$22-'Mass Ion Calculations'!$E21)/2-'Mass Ion Calculations'!$D$5),IF('Mass Ion Calculations'!$D$7="Yes", ('Mass Ion Calculations'!$D$15+'AA Exact Masses'!$Q$3+'AA Exact Masses'!$Q$2-'Mass Ion Calculations'!$C$22-'Mass Ion Calculations'!$C21)/2-'Mass Ion Calculations'!$D$5,('Mass Ion Calculations'!$F$15+'AA Exact Masses'!$Q$3+'AA Exact Masses'!$Q$2-'Mass Ion Calculations'!$E$22-'Mass Ion Calculations'!$E21)/2-'Mass Ion Calculations'!$D$5)))</f>
        <v/>
      </c>
      <c r="U20" s="3" t="str">
        <f>IF(OR($B20="",U$3=""),"",IF('Mass Ion Calculations'!$D$6="Yes",IF('Mass Ion Calculations'!$D$7="Yes",('Mass Ion Calculations'!$D$18+'AA Exact Masses'!$Q$3+'AA Exact Masses'!$Q$2-'Mass Ion Calculations'!$C$23-'Mass Ion Calculations'!$C21)/2-'Mass Ion Calculations'!$D$5,('Mass Ion Calculations'!$F$18+'AA Exact Masses'!$Q$3+'AA Exact Masses'!$Q$2-'Mass Ion Calculations'!$E$23-'Mass Ion Calculations'!$E21)/2-'Mass Ion Calculations'!$D$5),IF('Mass Ion Calculations'!$D$7="Yes", ('Mass Ion Calculations'!$D$15+'AA Exact Masses'!$Q$3+'AA Exact Masses'!$Q$2-'Mass Ion Calculations'!$C$23-'Mass Ion Calculations'!$C21)/2-'Mass Ion Calculations'!$D$5,('Mass Ion Calculations'!$F$15+'AA Exact Masses'!$Q$3+'AA Exact Masses'!$Q$2-'Mass Ion Calculations'!$E$23-'Mass Ion Calculations'!$E21)/2-'Mass Ion Calculations'!$D$5)))</f>
        <v/>
      </c>
      <c r="V20" s="3" t="str">
        <f>IF(OR($B20="",V$3=""),"",IF('Mass Ion Calculations'!$D$6="Yes",IF('Mass Ion Calculations'!$D$7="Yes",('Mass Ion Calculations'!$D$18+'AA Exact Masses'!$Q$3+'AA Exact Masses'!$Q$2-'Mass Ion Calculations'!$C$24-'Mass Ion Calculations'!$C21)/2-'Mass Ion Calculations'!$D$5,('Mass Ion Calculations'!$F$18+'AA Exact Masses'!$Q$3+'AA Exact Masses'!$Q$2-'Mass Ion Calculations'!$E$24-'Mass Ion Calculations'!$E21)/2-'Mass Ion Calculations'!$D$5),IF('Mass Ion Calculations'!$D$7="Yes", ('Mass Ion Calculations'!$D$15+'AA Exact Masses'!$Q$3+'AA Exact Masses'!$Q$2-'Mass Ion Calculations'!$C$24-'Mass Ion Calculations'!$C21)/2-'Mass Ion Calculations'!$D$5,('Mass Ion Calculations'!$F$15+'AA Exact Masses'!$Q$3+'AA Exact Masses'!$Q$2-'Mass Ion Calculations'!$E$24-'Mass Ion Calculations'!$E21)/2-'Mass Ion Calculations'!$D$5)))</f>
        <v/>
      </c>
      <c r="W20" s="3" t="str">
        <f>IF(OR($B20="",W$3=""),"",IF('Mass Ion Calculations'!$D$6="Yes",IF('Mass Ion Calculations'!$D$7="Yes",('Mass Ion Calculations'!$D$18+'AA Exact Masses'!$Q$3+'AA Exact Masses'!$Q$2-'Mass Ion Calculations'!$C$25-'Mass Ion Calculations'!$C21)/2-'Mass Ion Calculations'!$D$5,('Mass Ion Calculations'!$F$18+'AA Exact Masses'!$Q$3+'AA Exact Masses'!$Q$2-'Mass Ion Calculations'!$E$25-'Mass Ion Calculations'!$E21)/2-'Mass Ion Calculations'!$D$5),IF('Mass Ion Calculations'!$D$7="Yes", ('Mass Ion Calculations'!$D$15+'AA Exact Masses'!$Q$3+'AA Exact Masses'!$Q$2-'Mass Ion Calculations'!$C$25-'Mass Ion Calculations'!$C21)/2-'Mass Ion Calculations'!$D$5,('Mass Ion Calculations'!$F$15+'AA Exact Masses'!$Q$3+'AA Exact Masses'!$Q$2-'Mass Ion Calculations'!$E$25-'Mass Ion Calculations'!$E21)/2-'Mass Ion Calculations'!$D$5)))</f>
        <v/>
      </c>
      <c r="X20" s="3" t="str">
        <f>IF(OR($B20="",X$3=""),"",IF('Mass Ion Calculations'!$D$6="Yes",IF('Mass Ion Calculations'!$D$7="Yes",('Mass Ion Calculations'!$D$18+'AA Exact Masses'!$Q$3+'AA Exact Masses'!$Q$2-'Mass Ion Calculations'!$C$26-'Mass Ion Calculations'!$C21)/2-'Mass Ion Calculations'!$D$5,('Mass Ion Calculations'!$F$18+'AA Exact Masses'!$Q$3+'AA Exact Masses'!$Q$2-'Mass Ion Calculations'!$E$26-'Mass Ion Calculations'!$E21)/2-'Mass Ion Calculations'!$D$5),IF('Mass Ion Calculations'!$D$7="Yes", ('Mass Ion Calculations'!$D$15+'AA Exact Masses'!$Q$3+'AA Exact Masses'!$Q$2-'Mass Ion Calculations'!$C$26-'Mass Ion Calculations'!$C21)/2-'Mass Ion Calculations'!$D$5,('Mass Ion Calculations'!$F$15+'AA Exact Masses'!$Q$3+'AA Exact Masses'!$Q$2-'Mass Ion Calculations'!$E$26-'Mass Ion Calculations'!$E21)/2-'Mass Ion Calculations'!$D$5)))</f>
        <v/>
      </c>
      <c r="Y20" s="3" t="str">
        <f>IF(OR($B20="",Y$3=""),"",IF('Mass Ion Calculations'!$D$6="Yes",IF('Mass Ion Calculations'!$D$7="Yes",('Mass Ion Calculations'!$D$18+'AA Exact Masses'!$Q$3+'AA Exact Masses'!$Q$2-'Mass Ion Calculations'!$C$27-'Mass Ion Calculations'!$C21)/2-'Mass Ion Calculations'!$D$5,('Mass Ion Calculations'!$F$18+'AA Exact Masses'!$Q$3+'AA Exact Masses'!$Q$2-'Mass Ion Calculations'!$E$27-'Mass Ion Calculations'!$E21)/2-'Mass Ion Calculations'!$D$5),IF('Mass Ion Calculations'!$D$7="Yes", ('Mass Ion Calculations'!$D$15+'AA Exact Masses'!$Q$3+'AA Exact Masses'!$Q$2-'Mass Ion Calculations'!$C$27-'Mass Ion Calculations'!$C21)/2-'Mass Ion Calculations'!$D$5,('Mass Ion Calculations'!$F$15+'AA Exact Masses'!$Q$3+'AA Exact Masses'!$Q$2-'Mass Ion Calculations'!$E$27-'Mass Ion Calculations'!$E21)/2-'Mass Ion Calculations'!$D$5)))</f>
        <v/>
      </c>
      <c r="Z20" s="3" t="str">
        <f>IF(OR($B20="",Z$3=""),"",IF('Mass Ion Calculations'!$D$6="Yes",IF('Mass Ion Calculations'!$D$7="Yes",('Mass Ion Calculations'!$D$18+'AA Exact Masses'!$Q$3+'AA Exact Masses'!$Q$2-'Mass Ion Calculations'!$C$28-'Mass Ion Calculations'!$C21)/2-'Mass Ion Calculations'!$D$5,('Mass Ion Calculations'!$F$18+'AA Exact Masses'!$Q$3+'AA Exact Masses'!$Q$2-'Mass Ion Calculations'!$E$28-'Mass Ion Calculations'!$E21)/2-'Mass Ion Calculations'!$D$5),IF('Mass Ion Calculations'!$D$7="Yes", ('Mass Ion Calculations'!$D$15+'AA Exact Masses'!$Q$3+'AA Exact Masses'!$Q$2-'Mass Ion Calculations'!$C$28-'Mass Ion Calculations'!$C21)/2-'Mass Ion Calculations'!$D$5,('Mass Ion Calculations'!$F$15+'AA Exact Masses'!$Q$3+'AA Exact Masses'!$Q$2-'Mass Ion Calculations'!$E$28-'Mass Ion Calculations'!$E21)/2-'Mass Ion Calculations'!$D$5)))</f>
        <v/>
      </c>
    </row>
    <row r="21" spans="2:26" x14ac:dyDescent="0.25">
      <c r="B21" s="4" t="str">
        <f>IF('Mass Ion Calculations'!B22="","", 'Mass Ion Calculations'!B22)</f>
        <v>HOAt</v>
      </c>
      <c r="C21" s="3" t="e">
        <f>IF(OR($B21="",C$3=""),"",IF('Mass Ion Calculations'!$D$6="Yes",IF('Mass Ion Calculations'!$D$7="Yes",('Mass Ion Calculations'!$D$18+'AA Exact Masses'!$Q$3+'AA Exact Masses'!$Q$2-'Mass Ion Calculations'!$C$5-'Mass Ion Calculations'!$C22)/2-'Mass Ion Calculations'!$D$5,('Mass Ion Calculations'!$F$18+'AA Exact Masses'!$Q$3+'AA Exact Masses'!$Q$2-'Mass Ion Calculations'!$E$5-'Mass Ion Calculations'!$E22)/2-'Mass Ion Calculations'!$D$5),IF('Mass Ion Calculations'!$D$7="Yes", ('Mass Ion Calculations'!$D$15+'AA Exact Masses'!$Q$3+'AA Exact Masses'!$Q$2-'Mass Ion Calculations'!$C$5-'Mass Ion Calculations'!$C22)/2-'Mass Ion Calculations'!$D$5,('Mass Ion Calculations'!$F$15+'AA Exact Masses'!$Q$3+'AA Exact Masses'!$Q$2-'Mass Ion Calculations'!$E$5-'Mass Ion Calculations'!$E22)/2-'Mass Ion Calculations'!$D$5)))</f>
        <v>#VALUE!</v>
      </c>
      <c r="D21" s="3" t="e">
        <f>IF(OR($B21="",D$3=""),"",IF('Mass Ion Calculations'!$D$6="Yes",IF('Mass Ion Calculations'!$D$7="Yes",('Mass Ion Calculations'!$D$18+'AA Exact Masses'!$Q$3+'AA Exact Masses'!$Q$2-'Mass Ion Calculations'!$C$6-'Mass Ion Calculations'!$C22)/2-'Mass Ion Calculations'!$D$5,('Mass Ion Calculations'!$F$18+'AA Exact Masses'!$Q$3+'AA Exact Masses'!$Q$2-'Mass Ion Calculations'!$E$6-'Mass Ion Calculations'!$E22)/2-'Mass Ion Calculations'!$D$5),IF('Mass Ion Calculations'!$D$7="Yes", ('Mass Ion Calculations'!$D$15+'AA Exact Masses'!$Q$3+'AA Exact Masses'!$Q$2-'Mass Ion Calculations'!$C$6-'Mass Ion Calculations'!$C22)/2-'Mass Ion Calculations'!$D$5,('Mass Ion Calculations'!$F$15+'AA Exact Masses'!$Q$3+'AA Exact Masses'!$Q$2-'Mass Ion Calculations'!$E$6-'Mass Ion Calculations'!$E22)/2-'Mass Ion Calculations'!$D$5)))</f>
        <v>#VALUE!</v>
      </c>
      <c r="E21" s="3" t="e">
        <f>IF(OR($B21="",E$3=""),"",IF('Mass Ion Calculations'!$D$6="Yes",IF('Mass Ion Calculations'!$D$7="Yes",('Mass Ion Calculations'!$D$18+'AA Exact Masses'!$Q$3+'AA Exact Masses'!$Q$2-'Mass Ion Calculations'!$C$7-'Mass Ion Calculations'!$C22)/2-'Mass Ion Calculations'!$D$5,('Mass Ion Calculations'!$F$18+'AA Exact Masses'!$Q$3+'AA Exact Masses'!$Q$2-'Mass Ion Calculations'!$E$7-'Mass Ion Calculations'!$E22)/2-'Mass Ion Calculations'!$D$5),IF('Mass Ion Calculations'!$D$7="Yes", ('Mass Ion Calculations'!$D$15+'AA Exact Masses'!$Q$3+'AA Exact Masses'!$Q$2-'Mass Ion Calculations'!$C$7-'Mass Ion Calculations'!$C22)/2-'Mass Ion Calculations'!$D$5,('Mass Ion Calculations'!$F$15+'AA Exact Masses'!$Q$3+'AA Exact Masses'!$Q$2-'Mass Ion Calculations'!$E$7-'Mass Ion Calculations'!$E22)/2-'Mass Ion Calculations'!$D$5)))</f>
        <v>#VALUE!</v>
      </c>
      <c r="F21" s="3" t="e">
        <f>IF(OR($B21="",F$3=""),"",IF('Mass Ion Calculations'!$D$6="Yes",IF('Mass Ion Calculations'!$D$7="Yes",('Mass Ion Calculations'!$D$18+'AA Exact Masses'!$Q$3+'AA Exact Masses'!$Q$2-'Mass Ion Calculations'!$C$8-'Mass Ion Calculations'!$C22)/2-'Mass Ion Calculations'!$D$5,('Mass Ion Calculations'!$F$18+'AA Exact Masses'!$Q$3+'AA Exact Masses'!$Q$2-'Mass Ion Calculations'!$E$8-'Mass Ion Calculations'!$E22)/2-'Mass Ion Calculations'!$D$5),IF('Mass Ion Calculations'!$D$7="Yes", ('Mass Ion Calculations'!$D$15+'AA Exact Masses'!$Q$3+'AA Exact Masses'!$Q$2-'Mass Ion Calculations'!$C$8-'Mass Ion Calculations'!$C22)/2-'Mass Ion Calculations'!$D$5,('Mass Ion Calculations'!$F$15+'AA Exact Masses'!$Q$3+'AA Exact Masses'!$Q$2-'Mass Ion Calculations'!$E$8-'Mass Ion Calculations'!$E22)/2-'Mass Ion Calculations'!$D$5)))</f>
        <v>#VALUE!</v>
      </c>
      <c r="G21" s="3" t="e">
        <f>IF(OR($B21="",G$3=""),"",IF('Mass Ion Calculations'!$D$6="Yes",IF('Mass Ion Calculations'!$D$7="Yes",('Mass Ion Calculations'!$D$18+'AA Exact Masses'!$Q$3+'AA Exact Masses'!$Q$2-'Mass Ion Calculations'!$C$9-'Mass Ion Calculations'!$C22)/2-'Mass Ion Calculations'!$D$5,('Mass Ion Calculations'!$F$18+'AA Exact Masses'!$Q$3+'AA Exact Masses'!$Q$2-'Mass Ion Calculations'!$E$9-'Mass Ion Calculations'!$E22)/2-'Mass Ion Calculations'!$D$5),IF('Mass Ion Calculations'!$D$7="Yes", ('Mass Ion Calculations'!$D$15+'AA Exact Masses'!$Q$3+'AA Exact Masses'!$Q$2-'Mass Ion Calculations'!$C$9-'Mass Ion Calculations'!$C22)/2-'Mass Ion Calculations'!$D$5,('Mass Ion Calculations'!$F$15+'AA Exact Masses'!$Q$3+'AA Exact Masses'!$Q$2-'Mass Ion Calculations'!$E$9-'Mass Ion Calculations'!$E22)/2-'Mass Ion Calculations'!$D$5)))</f>
        <v>#VALUE!</v>
      </c>
      <c r="H21" s="3" t="e">
        <f>IF(OR($B21="",H$3=""),"",IF('Mass Ion Calculations'!$D$6="Yes",IF('Mass Ion Calculations'!$D$7="Yes",('Mass Ion Calculations'!$D$18+'AA Exact Masses'!$Q$3+'AA Exact Masses'!$Q$2-'Mass Ion Calculations'!$C$10-'Mass Ion Calculations'!$C22)/2-'Mass Ion Calculations'!$D$5,('Mass Ion Calculations'!$F$18+'AA Exact Masses'!$Q$3+'AA Exact Masses'!$Q$2-'Mass Ion Calculations'!$E$10-'Mass Ion Calculations'!$E22)/2-'Mass Ion Calculations'!$D$5),IF('Mass Ion Calculations'!$D$7="Yes", ('Mass Ion Calculations'!$D$15+'AA Exact Masses'!$Q$3+'AA Exact Masses'!$Q$2-'Mass Ion Calculations'!$C$10-'Mass Ion Calculations'!$C22)/2-'Mass Ion Calculations'!$D$5,('Mass Ion Calculations'!$F$15+'AA Exact Masses'!$Q$3+'AA Exact Masses'!$Q$2-'Mass Ion Calculations'!$E$10-'Mass Ion Calculations'!$E22)/2-'Mass Ion Calculations'!$D$5)))</f>
        <v>#VALUE!</v>
      </c>
      <c r="I21" s="3" t="e">
        <f>IF(OR($B21="",I$3=""),"",IF('Mass Ion Calculations'!$D$6="Yes",IF('Mass Ion Calculations'!$D$7="Yes",('Mass Ion Calculations'!$D$18+'AA Exact Masses'!$Q$3+'AA Exact Masses'!$Q$2-'Mass Ion Calculations'!$C$11-'Mass Ion Calculations'!$C22)/2-'Mass Ion Calculations'!$D$5,('Mass Ion Calculations'!$F$18+'AA Exact Masses'!$Q$3+'AA Exact Masses'!$Q$2-'Mass Ion Calculations'!$E$11-'Mass Ion Calculations'!$E22)/2-'Mass Ion Calculations'!$D$5),IF('Mass Ion Calculations'!$D$7="Yes", ('Mass Ion Calculations'!$D$15+'AA Exact Masses'!$Q$3+'AA Exact Masses'!$Q$2-'Mass Ion Calculations'!$C$11-'Mass Ion Calculations'!$C22)/2-'Mass Ion Calculations'!$D$5,('Mass Ion Calculations'!$F$15+'AA Exact Masses'!$Q$3+'AA Exact Masses'!$Q$2-'Mass Ion Calculations'!$E$11-'Mass Ion Calculations'!$E22)/2-'Mass Ion Calculations'!$D$5)))</f>
        <v>#VALUE!</v>
      </c>
      <c r="J21" s="3" t="e">
        <f>IF(OR($B21="",J$3=""),"",IF('Mass Ion Calculations'!$D$6="Yes",IF('Mass Ion Calculations'!$D$7="Yes",('Mass Ion Calculations'!$D$18+'AA Exact Masses'!$Q$3+'AA Exact Masses'!$Q$2-'Mass Ion Calculations'!$C$12-'Mass Ion Calculations'!$C22)/2-'Mass Ion Calculations'!$D$5,('Mass Ion Calculations'!$F$18+'AA Exact Masses'!$Q$3+'AA Exact Masses'!$Q$2-'Mass Ion Calculations'!$E$12-'Mass Ion Calculations'!$E22)/2-'Mass Ion Calculations'!$D$5),IF('Mass Ion Calculations'!$D$7="Yes", ('Mass Ion Calculations'!$D$15+'AA Exact Masses'!$Q$3+'AA Exact Masses'!$Q$2-'Mass Ion Calculations'!$C$12-'Mass Ion Calculations'!$C22)/2-'Mass Ion Calculations'!$D$5,('Mass Ion Calculations'!$F$15+'AA Exact Masses'!$Q$3+'AA Exact Masses'!$Q$2-'Mass Ion Calculations'!$E$12-'Mass Ion Calculations'!$E22)/2-'Mass Ion Calculations'!$D$5)))</f>
        <v>#VALUE!</v>
      </c>
      <c r="K21" s="3" t="e">
        <f>IF(OR($B21="",K$3=""),"",IF('Mass Ion Calculations'!$D$6="Yes",IF('Mass Ion Calculations'!$D$7="Yes",('Mass Ion Calculations'!$D$18+'AA Exact Masses'!$Q$3+'AA Exact Masses'!$Q$2-'Mass Ion Calculations'!$C$13-'Mass Ion Calculations'!$C22)/2-'Mass Ion Calculations'!$D$5,('Mass Ion Calculations'!$F$18+'AA Exact Masses'!$Q$3+'AA Exact Masses'!$Q$2-'Mass Ion Calculations'!$E$14-'Mass Ion Calculations'!$E22)/2-'Mass Ion Calculations'!$D$5),IF('Mass Ion Calculations'!$D$7="Yes", ('Mass Ion Calculations'!$D$15+'AA Exact Masses'!$Q$3+'AA Exact Masses'!$Q$2-'Mass Ion Calculations'!$C$13-'Mass Ion Calculations'!$C22)/2-'Mass Ion Calculations'!$D$5,('Mass Ion Calculations'!$F$15+'AA Exact Masses'!$Q$3+'AA Exact Masses'!$Q$2-'Mass Ion Calculations'!$E$14-'Mass Ion Calculations'!$E22)/2-'Mass Ion Calculations'!$D$5)))</f>
        <v>#VALUE!</v>
      </c>
      <c r="L21" s="3" t="e">
        <f>IF(OR($B21="",L$3=""),"",IF('Mass Ion Calculations'!$D$6="Yes",IF('Mass Ion Calculations'!$D$7="Yes",('Mass Ion Calculations'!$D$18+'AA Exact Masses'!$Q$3+'AA Exact Masses'!$Q$2-'Mass Ion Calculations'!$C$14-'Mass Ion Calculations'!$C22)/2-'Mass Ion Calculations'!$D$5,('Mass Ion Calculations'!$F$18+'AA Exact Masses'!$Q$3+'AA Exact Masses'!$Q$2-'Mass Ion Calculations'!$E$15-'Mass Ion Calculations'!$E22)/2-'Mass Ion Calculations'!$D$5),IF('Mass Ion Calculations'!$D$7="Yes", ('Mass Ion Calculations'!$D$15+'AA Exact Masses'!$Q$3+'AA Exact Masses'!$Q$2-'Mass Ion Calculations'!$C$14-'Mass Ion Calculations'!$C22)/2-'Mass Ion Calculations'!$D$5,('Mass Ion Calculations'!$F$15+'AA Exact Masses'!$Q$3+'AA Exact Masses'!$Q$2-'Mass Ion Calculations'!$E$15-'Mass Ion Calculations'!$E22)/2-'Mass Ion Calculations'!$D$5)))</f>
        <v>#VALUE!</v>
      </c>
      <c r="M21" s="3" t="e">
        <f>IF(OR($B21="",M$3=""),"",IF('Mass Ion Calculations'!$D$6="Yes",IF('Mass Ion Calculations'!$D$7="Yes",('Mass Ion Calculations'!$D$18+'AA Exact Masses'!$Q$3+'AA Exact Masses'!$Q$2-'Mass Ion Calculations'!$C$15-'Mass Ion Calculations'!$C22)/2-'Mass Ion Calculations'!$D$5,('Mass Ion Calculations'!$F$18+'AA Exact Masses'!$Q$3+'AA Exact Masses'!$Q$2-'Mass Ion Calculations'!$E$16-'Mass Ion Calculations'!$E22)/2-'Mass Ion Calculations'!$D$5),IF('Mass Ion Calculations'!$D$7="Yes", ('Mass Ion Calculations'!$D$15+'AA Exact Masses'!$Q$3+'AA Exact Masses'!$Q$2-'Mass Ion Calculations'!$C$15-'Mass Ion Calculations'!$C22)/2-'Mass Ion Calculations'!$D$5,('Mass Ion Calculations'!$F$15+'AA Exact Masses'!$Q$3+'AA Exact Masses'!$Q$2-'Mass Ion Calculations'!$E$16-'Mass Ion Calculations'!$E22)/2-'Mass Ion Calculations'!$D$5)))</f>
        <v>#VALUE!</v>
      </c>
      <c r="N21" s="3" t="e">
        <f>IF(OR($B21="",N$3=""),"",IF('Mass Ion Calculations'!$D$6="Yes",IF('Mass Ion Calculations'!$D$7="Yes",('Mass Ion Calculations'!$D$18+'AA Exact Masses'!$Q$3+'AA Exact Masses'!$Q$2-'Mass Ion Calculations'!$C$16-'Mass Ion Calculations'!$C22)/2-'Mass Ion Calculations'!$D$5,('Mass Ion Calculations'!$F$18+'AA Exact Masses'!$Q$3+'AA Exact Masses'!$Q$2-'Mass Ion Calculations'!$E$17-'Mass Ion Calculations'!$E22)/2-'Mass Ion Calculations'!$D$5),IF('Mass Ion Calculations'!$D$7="Yes", ('Mass Ion Calculations'!$D$15+'AA Exact Masses'!$Q$3+'AA Exact Masses'!$Q$2-'Mass Ion Calculations'!$C$16-'Mass Ion Calculations'!$C22)/2-'Mass Ion Calculations'!$D$5,('Mass Ion Calculations'!$F$15+'AA Exact Masses'!$Q$3+'AA Exact Masses'!$Q$2-'Mass Ion Calculations'!$E$17-'Mass Ion Calculations'!$E22)/2-'Mass Ion Calculations'!$D$5)))</f>
        <v>#VALUE!</v>
      </c>
      <c r="O21" s="3" t="e">
        <f>IF(OR($B21="",O$3=""),"",IF('Mass Ion Calculations'!$D$6="Yes",IF('Mass Ion Calculations'!$D$7="Yes",('Mass Ion Calculations'!$D$18+'AA Exact Masses'!$Q$3+'AA Exact Masses'!$Q$2-'Mass Ion Calculations'!$C$17-'Mass Ion Calculations'!$C22)/2-'Mass Ion Calculations'!$D$5,('Mass Ion Calculations'!$F$18+'AA Exact Masses'!$Q$3+'AA Exact Masses'!$Q$2-'Mass Ion Calculations'!$E$18-'Mass Ion Calculations'!$E22)/2-'Mass Ion Calculations'!$D$5),IF('Mass Ion Calculations'!$D$7="Yes", ('Mass Ion Calculations'!$D$15+'AA Exact Masses'!$Q$3+'AA Exact Masses'!$Q$2-'Mass Ion Calculations'!$C$17-'Mass Ion Calculations'!$C22)/2-'Mass Ion Calculations'!$D$5,('Mass Ion Calculations'!$F$15+'AA Exact Masses'!$Q$3+'AA Exact Masses'!$Q$2-'Mass Ion Calculations'!$E$18-'Mass Ion Calculations'!$E22)/2-'Mass Ion Calculations'!$D$5)))</f>
        <v>#VALUE!</v>
      </c>
      <c r="P21" s="3" t="e">
        <f>IF(OR($B21="",P$3=""),"",IF('Mass Ion Calculations'!$D$6="Yes",IF('Mass Ion Calculations'!$D$7="Yes",('Mass Ion Calculations'!$D$18+'AA Exact Masses'!$Q$3+'AA Exact Masses'!$Q$2-'Mass Ion Calculations'!$C$19-'Mass Ion Calculations'!$C22)/2-'Mass Ion Calculations'!$D$5,('Mass Ion Calculations'!$F$18+'AA Exact Masses'!$Q$3+'AA Exact Masses'!$Q$2-'Mass Ion Calculations'!$E$19-'Mass Ion Calculations'!$E22)/2-'Mass Ion Calculations'!$D$5),IF('Mass Ion Calculations'!$D$7="Yes", ('Mass Ion Calculations'!$D$15+'AA Exact Masses'!$Q$3+'AA Exact Masses'!$Q$2-'Mass Ion Calculations'!$C$19-'Mass Ion Calculations'!$C22)/2-'Mass Ion Calculations'!$D$5,('Mass Ion Calculations'!$F$15+'AA Exact Masses'!$Q$3+'AA Exact Masses'!$Q$2-'Mass Ion Calculations'!$E$19-'Mass Ion Calculations'!$E22)/2-'Mass Ion Calculations'!$D$5)))</f>
        <v>#VALUE!</v>
      </c>
      <c r="Q21" s="3" t="e">
        <f>IF(OR($B21="",Q$3=""),"",IF('Mass Ion Calculations'!$D$6="Yes",IF('Mass Ion Calculations'!$D$7="Yes",('Mass Ion Calculations'!$D$18+'AA Exact Masses'!$Q$3+'AA Exact Masses'!$Q$2-'Mass Ion Calculations'!$C$20-'Mass Ion Calculations'!$C22)/2-'Mass Ion Calculations'!$D$5,('Mass Ion Calculations'!$F$18+'AA Exact Masses'!$Q$3+'AA Exact Masses'!$Q$2-'Mass Ion Calculations'!$E$20-'Mass Ion Calculations'!$E22)/2-'Mass Ion Calculations'!$D$5),IF('Mass Ion Calculations'!$D$7="Yes", ('Mass Ion Calculations'!$D$15+'AA Exact Masses'!$Q$3+'AA Exact Masses'!$Q$2-'Mass Ion Calculations'!$C$20-'Mass Ion Calculations'!$C22)/2-'Mass Ion Calculations'!$D$5,('Mass Ion Calculations'!$F$15+'AA Exact Masses'!$Q$3+'AA Exact Masses'!$Q$2-'Mass Ion Calculations'!$E$20-'Mass Ion Calculations'!$E22)/2-'Mass Ion Calculations'!$D$5)))</f>
        <v>#VALUE!</v>
      </c>
      <c r="R21" s="3" t="e">
        <f>IF(OR($B21="",R$3=""),"",IF('Mass Ion Calculations'!$D$6="Yes",IF('Mass Ion Calculations'!$D$7="Yes",('Mass Ion Calculations'!$D$18+'AA Exact Masses'!$Q$3+'AA Exact Masses'!$Q$2-'Mass Ion Calculations'!$C$21-'Mass Ion Calculations'!$C22)/2-'Mass Ion Calculations'!$D$5,('Mass Ion Calculations'!$F$18+'AA Exact Masses'!$Q$3+'AA Exact Masses'!$Q$2-'Mass Ion Calculations'!$E$21-'Mass Ion Calculations'!$E22)/2-'Mass Ion Calculations'!$D$5),IF('Mass Ion Calculations'!$D$7="Yes", ('Mass Ion Calculations'!$D$15+'AA Exact Masses'!$Q$3+'AA Exact Masses'!$Q$2-'Mass Ion Calculations'!$C$21-'Mass Ion Calculations'!$C22)/2-'Mass Ion Calculations'!$D$5,('Mass Ion Calculations'!$F$15+'AA Exact Masses'!$Q$3+'AA Exact Masses'!$Q$2-'Mass Ion Calculations'!$E$21-'Mass Ion Calculations'!$E22)/2-'Mass Ion Calculations'!$D$5)))</f>
        <v>#VALUE!</v>
      </c>
      <c r="S21" s="3" t="str">
        <f>IF(OR($B21="",S$3=""),"",IF('Mass Ion Calculations'!$D$6="Yes",IF('Mass Ion Calculations'!$D$7="Yes",('Mass Ion Calculations'!$D$18+'AA Exact Masses'!$Q$3+'AA Exact Masses'!$Q$2-'Mass Ion Calculations'!$C$22-'Mass Ion Calculations'!$C22)/2-'Mass Ion Calculations'!$D$5,('Mass Ion Calculations'!$F$18+'AA Exact Masses'!$Q$3+'AA Exact Masses'!$Q$2-'Mass Ion Calculations'!$E$22-'Mass Ion Calculations'!$E22)/2-'Mass Ion Calculations'!$D$5),IF('Mass Ion Calculations'!$D$7="Yes", ('Mass Ion Calculations'!$D$15+'AA Exact Masses'!$Q$3+'AA Exact Masses'!$Q$2-'Mass Ion Calculations'!$C$22-'Mass Ion Calculations'!$C22)/2-'Mass Ion Calculations'!$D$5,('Mass Ion Calculations'!$F$15+'AA Exact Masses'!$Q$3+'AA Exact Masses'!$Q$2-'Mass Ion Calculations'!$E$22-'Mass Ion Calculations'!$E22)/2-'Mass Ion Calculations'!$D$5)))</f>
        <v/>
      </c>
      <c r="T21" s="3" t="e">
        <f>IF(OR($B21="",T$3=""),"",IF('Mass Ion Calculations'!$D$6="Yes",IF('Mass Ion Calculations'!$D$7="Yes",('Mass Ion Calculations'!$D$18+'AA Exact Masses'!$Q$3+'AA Exact Masses'!$Q$2-'Mass Ion Calculations'!$C$22-'Mass Ion Calculations'!$C22)/2-'Mass Ion Calculations'!$D$5,('Mass Ion Calculations'!$F$18+'AA Exact Masses'!$Q$3+'AA Exact Masses'!$Q$2-'Mass Ion Calculations'!$E$22-'Mass Ion Calculations'!$E22)/2-'Mass Ion Calculations'!$D$5),IF('Mass Ion Calculations'!$D$7="Yes", ('Mass Ion Calculations'!$D$15+'AA Exact Masses'!$Q$3+'AA Exact Masses'!$Q$2-'Mass Ion Calculations'!$C$22-'Mass Ion Calculations'!$C22)/2-'Mass Ion Calculations'!$D$5,('Mass Ion Calculations'!$F$15+'AA Exact Masses'!$Q$3+'AA Exact Masses'!$Q$2-'Mass Ion Calculations'!$E$22-'Mass Ion Calculations'!$E22)/2-'Mass Ion Calculations'!$D$5)))</f>
        <v>#VALUE!</v>
      </c>
      <c r="U21" s="3" t="e">
        <f>IF(OR($B21="",U$3=""),"",IF('Mass Ion Calculations'!$D$6="Yes",IF('Mass Ion Calculations'!$D$7="Yes",('Mass Ion Calculations'!$D$18+'AA Exact Masses'!$Q$3+'AA Exact Masses'!$Q$2-'Mass Ion Calculations'!$C$23-'Mass Ion Calculations'!$C22)/2-'Mass Ion Calculations'!$D$5,('Mass Ion Calculations'!$F$18+'AA Exact Masses'!$Q$3+'AA Exact Masses'!$Q$2-'Mass Ion Calculations'!$E$23-'Mass Ion Calculations'!$E22)/2-'Mass Ion Calculations'!$D$5),IF('Mass Ion Calculations'!$D$7="Yes", ('Mass Ion Calculations'!$D$15+'AA Exact Masses'!$Q$3+'AA Exact Masses'!$Q$2-'Mass Ion Calculations'!$C$23-'Mass Ion Calculations'!$C22)/2-'Mass Ion Calculations'!$D$5,('Mass Ion Calculations'!$F$15+'AA Exact Masses'!$Q$3+'AA Exact Masses'!$Q$2-'Mass Ion Calculations'!$E$23-'Mass Ion Calculations'!$E22)/2-'Mass Ion Calculations'!$D$5)))</f>
        <v>#VALUE!</v>
      </c>
      <c r="V21" s="3" t="str">
        <f>IF(OR($B21="",V$3=""),"",IF('Mass Ion Calculations'!$D$6="Yes",IF('Mass Ion Calculations'!$D$7="Yes",('Mass Ion Calculations'!$D$18+'AA Exact Masses'!$Q$3+'AA Exact Masses'!$Q$2-'Mass Ion Calculations'!$C$24-'Mass Ion Calculations'!$C22)/2-'Mass Ion Calculations'!$D$5,('Mass Ion Calculations'!$F$18+'AA Exact Masses'!$Q$3+'AA Exact Masses'!$Q$2-'Mass Ion Calculations'!$E$24-'Mass Ion Calculations'!$E22)/2-'Mass Ion Calculations'!$D$5),IF('Mass Ion Calculations'!$D$7="Yes", ('Mass Ion Calculations'!$D$15+'AA Exact Masses'!$Q$3+'AA Exact Masses'!$Q$2-'Mass Ion Calculations'!$C$24-'Mass Ion Calculations'!$C22)/2-'Mass Ion Calculations'!$D$5,('Mass Ion Calculations'!$F$15+'AA Exact Masses'!$Q$3+'AA Exact Masses'!$Q$2-'Mass Ion Calculations'!$E$24-'Mass Ion Calculations'!$E22)/2-'Mass Ion Calculations'!$D$5)))</f>
        <v/>
      </c>
      <c r="W21" s="3" t="str">
        <f>IF(OR($B21="",W$3=""),"",IF('Mass Ion Calculations'!$D$6="Yes",IF('Mass Ion Calculations'!$D$7="Yes",('Mass Ion Calculations'!$D$18+'AA Exact Masses'!$Q$3+'AA Exact Masses'!$Q$2-'Mass Ion Calculations'!$C$25-'Mass Ion Calculations'!$C22)/2-'Mass Ion Calculations'!$D$5,('Mass Ion Calculations'!$F$18+'AA Exact Masses'!$Q$3+'AA Exact Masses'!$Q$2-'Mass Ion Calculations'!$E$25-'Mass Ion Calculations'!$E22)/2-'Mass Ion Calculations'!$D$5),IF('Mass Ion Calculations'!$D$7="Yes", ('Mass Ion Calculations'!$D$15+'AA Exact Masses'!$Q$3+'AA Exact Masses'!$Q$2-'Mass Ion Calculations'!$C$25-'Mass Ion Calculations'!$C22)/2-'Mass Ion Calculations'!$D$5,('Mass Ion Calculations'!$F$15+'AA Exact Masses'!$Q$3+'AA Exact Masses'!$Q$2-'Mass Ion Calculations'!$E$25-'Mass Ion Calculations'!$E22)/2-'Mass Ion Calculations'!$D$5)))</f>
        <v/>
      </c>
      <c r="X21" s="3" t="str">
        <f>IF(OR($B21="",X$3=""),"",IF('Mass Ion Calculations'!$D$6="Yes",IF('Mass Ion Calculations'!$D$7="Yes",('Mass Ion Calculations'!$D$18+'AA Exact Masses'!$Q$3+'AA Exact Masses'!$Q$2-'Mass Ion Calculations'!$C$26-'Mass Ion Calculations'!$C22)/2-'Mass Ion Calculations'!$D$5,('Mass Ion Calculations'!$F$18+'AA Exact Masses'!$Q$3+'AA Exact Masses'!$Q$2-'Mass Ion Calculations'!$E$26-'Mass Ion Calculations'!$E22)/2-'Mass Ion Calculations'!$D$5),IF('Mass Ion Calculations'!$D$7="Yes", ('Mass Ion Calculations'!$D$15+'AA Exact Masses'!$Q$3+'AA Exact Masses'!$Q$2-'Mass Ion Calculations'!$C$26-'Mass Ion Calculations'!$C22)/2-'Mass Ion Calculations'!$D$5,('Mass Ion Calculations'!$F$15+'AA Exact Masses'!$Q$3+'AA Exact Masses'!$Q$2-'Mass Ion Calculations'!$E$26-'Mass Ion Calculations'!$E22)/2-'Mass Ion Calculations'!$D$5)))</f>
        <v/>
      </c>
      <c r="Y21" s="3" t="str">
        <f>IF(OR($B21="",Y$3=""),"",IF('Mass Ion Calculations'!$D$6="Yes",IF('Mass Ion Calculations'!$D$7="Yes",('Mass Ion Calculations'!$D$18+'AA Exact Masses'!$Q$3+'AA Exact Masses'!$Q$2-'Mass Ion Calculations'!$C$27-'Mass Ion Calculations'!$C22)/2-'Mass Ion Calculations'!$D$5,('Mass Ion Calculations'!$F$18+'AA Exact Masses'!$Q$3+'AA Exact Masses'!$Q$2-'Mass Ion Calculations'!$E$27-'Mass Ion Calculations'!$E22)/2-'Mass Ion Calculations'!$D$5),IF('Mass Ion Calculations'!$D$7="Yes", ('Mass Ion Calculations'!$D$15+'AA Exact Masses'!$Q$3+'AA Exact Masses'!$Q$2-'Mass Ion Calculations'!$C$27-'Mass Ion Calculations'!$C22)/2-'Mass Ion Calculations'!$D$5,('Mass Ion Calculations'!$F$15+'AA Exact Masses'!$Q$3+'AA Exact Masses'!$Q$2-'Mass Ion Calculations'!$E$27-'Mass Ion Calculations'!$E22)/2-'Mass Ion Calculations'!$D$5)))</f>
        <v/>
      </c>
      <c r="Z21" s="3" t="str">
        <f>IF(OR($B21="",Z$3=""),"",IF('Mass Ion Calculations'!$D$6="Yes",IF('Mass Ion Calculations'!$D$7="Yes",('Mass Ion Calculations'!$D$18+'AA Exact Masses'!$Q$3+'AA Exact Masses'!$Q$2-'Mass Ion Calculations'!$C$28-'Mass Ion Calculations'!$C22)/2-'Mass Ion Calculations'!$D$5,('Mass Ion Calculations'!$F$18+'AA Exact Masses'!$Q$3+'AA Exact Masses'!$Q$2-'Mass Ion Calculations'!$E$28-'Mass Ion Calculations'!$E22)/2-'Mass Ion Calculations'!$D$5),IF('Mass Ion Calculations'!$D$7="Yes", ('Mass Ion Calculations'!$D$15+'AA Exact Masses'!$Q$3+'AA Exact Masses'!$Q$2-'Mass Ion Calculations'!$C$28-'Mass Ion Calculations'!$C22)/2-'Mass Ion Calculations'!$D$5,('Mass Ion Calculations'!$F$15+'AA Exact Masses'!$Q$3+'AA Exact Masses'!$Q$2-'Mass Ion Calculations'!$E$28-'Mass Ion Calculations'!$E22)/2-'Mass Ion Calculations'!$D$5)))</f>
        <v/>
      </c>
    </row>
    <row r="22" spans="2:26" x14ac:dyDescent="0.25">
      <c r="B22" s="4" t="str">
        <f>IF('Mass Ion Calculations'!B23="","", 'Mass Ion Calculations'!B23)</f>
        <v>HCTU</v>
      </c>
      <c r="C22" s="3" t="e">
        <f>IF(OR($B22="",C$3=""),"",IF('Mass Ion Calculations'!$D$6="Yes",IF('Mass Ion Calculations'!$D$7="Yes",('Mass Ion Calculations'!$D$18+'AA Exact Masses'!$Q$3+'AA Exact Masses'!$Q$2-'Mass Ion Calculations'!$C$5-'Mass Ion Calculations'!$C23)/2-'Mass Ion Calculations'!$D$5,('Mass Ion Calculations'!$F$18+'AA Exact Masses'!$Q$3+'AA Exact Masses'!$Q$2-'Mass Ion Calculations'!$E$5-'Mass Ion Calculations'!$E23)/2-'Mass Ion Calculations'!$D$5),IF('Mass Ion Calculations'!$D$7="Yes", ('Mass Ion Calculations'!$D$15+'AA Exact Masses'!$Q$3+'AA Exact Masses'!$Q$2-'Mass Ion Calculations'!$C$5-'Mass Ion Calculations'!$C23)/2-'Mass Ion Calculations'!$D$5,('Mass Ion Calculations'!$F$15+'AA Exact Masses'!$Q$3+'AA Exact Masses'!$Q$2-'Mass Ion Calculations'!$E$5-'Mass Ion Calculations'!$E23)/2-'Mass Ion Calculations'!$D$5)))</f>
        <v>#VALUE!</v>
      </c>
      <c r="D22" s="3" t="e">
        <f>IF(OR($B22="",D$3=""),"",IF('Mass Ion Calculations'!$D$6="Yes",IF('Mass Ion Calculations'!$D$7="Yes",('Mass Ion Calculations'!$D$18+'AA Exact Masses'!$Q$3+'AA Exact Masses'!$Q$2-'Mass Ion Calculations'!$C$6-'Mass Ion Calculations'!$C23)/2-'Mass Ion Calculations'!$D$5,('Mass Ion Calculations'!$F$18+'AA Exact Masses'!$Q$3+'AA Exact Masses'!$Q$2-'Mass Ion Calculations'!$E$6-'Mass Ion Calculations'!$E23)/2-'Mass Ion Calculations'!$D$5),IF('Mass Ion Calculations'!$D$7="Yes", ('Mass Ion Calculations'!$D$15+'AA Exact Masses'!$Q$3+'AA Exact Masses'!$Q$2-'Mass Ion Calculations'!$C$6-'Mass Ion Calculations'!$C23)/2-'Mass Ion Calculations'!$D$5,('Mass Ion Calculations'!$F$15+'AA Exact Masses'!$Q$3+'AA Exact Masses'!$Q$2-'Mass Ion Calculations'!$E$6-'Mass Ion Calculations'!$E23)/2-'Mass Ion Calculations'!$D$5)))</f>
        <v>#VALUE!</v>
      </c>
      <c r="E22" s="3" t="e">
        <f>IF(OR($B22="",E$3=""),"",IF('Mass Ion Calculations'!$D$6="Yes",IF('Mass Ion Calculations'!$D$7="Yes",('Mass Ion Calculations'!$D$18+'AA Exact Masses'!$Q$3+'AA Exact Masses'!$Q$2-'Mass Ion Calculations'!$C$7-'Mass Ion Calculations'!$C23)/2-'Mass Ion Calculations'!$D$5,('Mass Ion Calculations'!$F$18+'AA Exact Masses'!$Q$3+'AA Exact Masses'!$Q$2-'Mass Ion Calculations'!$E$7-'Mass Ion Calculations'!$E23)/2-'Mass Ion Calculations'!$D$5),IF('Mass Ion Calculations'!$D$7="Yes", ('Mass Ion Calculations'!$D$15+'AA Exact Masses'!$Q$3+'AA Exact Masses'!$Q$2-'Mass Ion Calculations'!$C$7-'Mass Ion Calculations'!$C23)/2-'Mass Ion Calculations'!$D$5,('Mass Ion Calculations'!$F$15+'AA Exact Masses'!$Q$3+'AA Exact Masses'!$Q$2-'Mass Ion Calculations'!$E$7-'Mass Ion Calculations'!$E23)/2-'Mass Ion Calculations'!$D$5)))</f>
        <v>#VALUE!</v>
      </c>
      <c r="F22" s="3" t="e">
        <f>IF(OR($B22="",F$3=""),"",IF('Mass Ion Calculations'!$D$6="Yes",IF('Mass Ion Calculations'!$D$7="Yes",('Mass Ion Calculations'!$D$18+'AA Exact Masses'!$Q$3+'AA Exact Masses'!$Q$2-'Mass Ion Calculations'!$C$8-'Mass Ion Calculations'!$C23)/2-'Mass Ion Calculations'!$D$5,('Mass Ion Calculations'!$F$18+'AA Exact Masses'!$Q$3+'AA Exact Masses'!$Q$2-'Mass Ion Calculations'!$E$8-'Mass Ion Calculations'!$E23)/2-'Mass Ion Calculations'!$D$5),IF('Mass Ion Calculations'!$D$7="Yes", ('Mass Ion Calculations'!$D$15+'AA Exact Masses'!$Q$3+'AA Exact Masses'!$Q$2-'Mass Ion Calculations'!$C$8-'Mass Ion Calculations'!$C23)/2-'Mass Ion Calculations'!$D$5,('Mass Ion Calculations'!$F$15+'AA Exact Masses'!$Q$3+'AA Exact Masses'!$Q$2-'Mass Ion Calculations'!$E$8-'Mass Ion Calculations'!$E23)/2-'Mass Ion Calculations'!$D$5)))</f>
        <v>#VALUE!</v>
      </c>
      <c r="G22" s="3" t="e">
        <f>IF(OR($B22="",G$3=""),"",IF('Mass Ion Calculations'!$D$6="Yes",IF('Mass Ion Calculations'!$D$7="Yes",('Mass Ion Calculations'!$D$18+'AA Exact Masses'!$Q$3+'AA Exact Masses'!$Q$2-'Mass Ion Calculations'!$C$9-'Mass Ion Calculations'!$C23)/2-'Mass Ion Calculations'!$D$5,('Mass Ion Calculations'!$F$18+'AA Exact Masses'!$Q$3+'AA Exact Masses'!$Q$2-'Mass Ion Calculations'!$E$9-'Mass Ion Calculations'!$E23)/2-'Mass Ion Calculations'!$D$5),IF('Mass Ion Calculations'!$D$7="Yes", ('Mass Ion Calculations'!$D$15+'AA Exact Masses'!$Q$3+'AA Exact Masses'!$Q$2-'Mass Ion Calculations'!$C$9-'Mass Ion Calculations'!$C23)/2-'Mass Ion Calculations'!$D$5,('Mass Ion Calculations'!$F$15+'AA Exact Masses'!$Q$3+'AA Exact Masses'!$Q$2-'Mass Ion Calculations'!$E$9-'Mass Ion Calculations'!$E23)/2-'Mass Ion Calculations'!$D$5)))</f>
        <v>#VALUE!</v>
      </c>
      <c r="H22" s="3" t="e">
        <f>IF(OR($B22="",H$3=""),"",IF('Mass Ion Calculations'!$D$6="Yes",IF('Mass Ion Calculations'!$D$7="Yes",('Mass Ion Calculations'!$D$18+'AA Exact Masses'!$Q$3+'AA Exact Masses'!$Q$2-'Mass Ion Calculations'!$C$10-'Mass Ion Calculations'!$C23)/2-'Mass Ion Calculations'!$D$5,('Mass Ion Calculations'!$F$18+'AA Exact Masses'!$Q$3+'AA Exact Masses'!$Q$2-'Mass Ion Calculations'!$E$10-'Mass Ion Calculations'!$E23)/2-'Mass Ion Calculations'!$D$5),IF('Mass Ion Calculations'!$D$7="Yes", ('Mass Ion Calculations'!$D$15+'AA Exact Masses'!$Q$3+'AA Exact Masses'!$Q$2-'Mass Ion Calculations'!$C$10-'Mass Ion Calculations'!$C23)/2-'Mass Ion Calculations'!$D$5,('Mass Ion Calculations'!$F$15+'AA Exact Masses'!$Q$3+'AA Exact Masses'!$Q$2-'Mass Ion Calculations'!$E$10-'Mass Ion Calculations'!$E23)/2-'Mass Ion Calculations'!$D$5)))</f>
        <v>#VALUE!</v>
      </c>
      <c r="I22" s="3" t="e">
        <f>IF(OR($B22="",I$3=""),"",IF('Mass Ion Calculations'!$D$6="Yes",IF('Mass Ion Calculations'!$D$7="Yes",('Mass Ion Calculations'!$D$18+'AA Exact Masses'!$Q$3+'AA Exact Masses'!$Q$2-'Mass Ion Calculations'!$C$11-'Mass Ion Calculations'!$C23)/2-'Mass Ion Calculations'!$D$5,('Mass Ion Calculations'!$F$18+'AA Exact Masses'!$Q$3+'AA Exact Masses'!$Q$2-'Mass Ion Calculations'!$E$11-'Mass Ion Calculations'!$E23)/2-'Mass Ion Calculations'!$D$5),IF('Mass Ion Calculations'!$D$7="Yes", ('Mass Ion Calculations'!$D$15+'AA Exact Masses'!$Q$3+'AA Exact Masses'!$Q$2-'Mass Ion Calculations'!$C$11-'Mass Ion Calculations'!$C23)/2-'Mass Ion Calculations'!$D$5,('Mass Ion Calculations'!$F$15+'AA Exact Masses'!$Q$3+'AA Exact Masses'!$Q$2-'Mass Ion Calculations'!$E$11-'Mass Ion Calculations'!$E23)/2-'Mass Ion Calculations'!$D$5)))</f>
        <v>#VALUE!</v>
      </c>
      <c r="J22" s="3" t="e">
        <f>IF(OR($B22="",J$3=""),"",IF('Mass Ion Calculations'!$D$6="Yes",IF('Mass Ion Calculations'!$D$7="Yes",('Mass Ion Calculations'!$D$18+'AA Exact Masses'!$Q$3+'AA Exact Masses'!$Q$2-'Mass Ion Calculations'!$C$12-'Mass Ion Calculations'!$C23)/2-'Mass Ion Calculations'!$D$5,('Mass Ion Calculations'!$F$18+'AA Exact Masses'!$Q$3+'AA Exact Masses'!$Q$2-'Mass Ion Calculations'!$E$12-'Mass Ion Calculations'!$E23)/2-'Mass Ion Calculations'!$D$5),IF('Mass Ion Calculations'!$D$7="Yes", ('Mass Ion Calculations'!$D$15+'AA Exact Masses'!$Q$3+'AA Exact Masses'!$Q$2-'Mass Ion Calculations'!$C$12-'Mass Ion Calculations'!$C23)/2-'Mass Ion Calculations'!$D$5,('Mass Ion Calculations'!$F$15+'AA Exact Masses'!$Q$3+'AA Exact Masses'!$Q$2-'Mass Ion Calculations'!$E$12-'Mass Ion Calculations'!$E23)/2-'Mass Ion Calculations'!$D$5)))</f>
        <v>#VALUE!</v>
      </c>
      <c r="K22" s="3" t="e">
        <f>IF(OR($B22="",K$3=""),"",IF('Mass Ion Calculations'!$D$6="Yes",IF('Mass Ion Calculations'!$D$7="Yes",('Mass Ion Calculations'!$D$18+'AA Exact Masses'!$Q$3+'AA Exact Masses'!$Q$2-'Mass Ion Calculations'!$C$13-'Mass Ion Calculations'!$C23)/2-'Mass Ion Calculations'!$D$5,('Mass Ion Calculations'!$F$18+'AA Exact Masses'!$Q$3+'AA Exact Masses'!$Q$2-'Mass Ion Calculations'!$E$14-'Mass Ion Calculations'!$E23)/2-'Mass Ion Calculations'!$D$5),IF('Mass Ion Calculations'!$D$7="Yes", ('Mass Ion Calculations'!$D$15+'AA Exact Masses'!$Q$3+'AA Exact Masses'!$Q$2-'Mass Ion Calculations'!$C$13-'Mass Ion Calculations'!$C23)/2-'Mass Ion Calculations'!$D$5,('Mass Ion Calculations'!$F$15+'AA Exact Masses'!$Q$3+'AA Exact Masses'!$Q$2-'Mass Ion Calculations'!$E$14-'Mass Ion Calculations'!$E23)/2-'Mass Ion Calculations'!$D$5)))</f>
        <v>#VALUE!</v>
      </c>
      <c r="L22" s="3" t="e">
        <f>IF(OR($B22="",L$3=""),"",IF('Mass Ion Calculations'!$D$6="Yes",IF('Mass Ion Calculations'!$D$7="Yes",('Mass Ion Calculations'!$D$18+'AA Exact Masses'!$Q$3+'AA Exact Masses'!$Q$2-'Mass Ion Calculations'!$C$14-'Mass Ion Calculations'!$C23)/2-'Mass Ion Calculations'!$D$5,('Mass Ion Calculations'!$F$18+'AA Exact Masses'!$Q$3+'AA Exact Masses'!$Q$2-'Mass Ion Calculations'!$E$15-'Mass Ion Calculations'!$E23)/2-'Mass Ion Calculations'!$D$5),IF('Mass Ion Calculations'!$D$7="Yes", ('Mass Ion Calculations'!$D$15+'AA Exact Masses'!$Q$3+'AA Exact Masses'!$Q$2-'Mass Ion Calculations'!$C$14-'Mass Ion Calculations'!$C23)/2-'Mass Ion Calculations'!$D$5,('Mass Ion Calculations'!$F$15+'AA Exact Masses'!$Q$3+'AA Exact Masses'!$Q$2-'Mass Ion Calculations'!$E$15-'Mass Ion Calculations'!$E23)/2-'Mass Ion Calculations'!$D$5)))</f>
        <v>#VALUE!</v>
      </c>
      <c r="M22" s="3" t="e">
        <f>IF(OR($B22="",M$3=""),"",IF('Mass Ion Calculations'!$D$6="Yes",IF('Mass Ion Calculations'!$D$7="Yes",('Mass Ion Calculations'!$D$18+'AA Exact Masses'!$Q$3+'AA Exact Masses'!$Q$2-'Mass Ion Calculations'!$C$15-'Mass Ion Calculations'!$C23)/2-'Mass Ion Calculations'!$D$5,('Mass Ion Calculations'!$F$18+'AA Exact Masses'!$Q$3+'AA Exact Masses'!$Q$2-'Mass Ion Calculations'!$E$16-'Mass Ion Calculations'!$E23)/2-'Mass Ion Calculations'!$D$5),IF('Mass Ion Calculations'!$D$7="Yes", ('Mass Ion Calculations'!$D$15+'AA Exact Masses'!$Q$3+'AA Exact Masses'!$Q$2-'Mass Ion Calculations'!$C$15-'Mass Ion Calculations'!$C23)/2-'Mass Ion Calculations'!$D$5,('Mass Ion Calculations'!$F$15+'AA Exact Masses'!$Q$3+'AA Exact Masses'!$Q$2-'Mass Ion Calculations'!$E$16-'Mass Ion Calculations'!$E23)/2-'Mass Ion Calculations'!$D$5)))</f>
        <v>#VALUE!</v>
      </c>
      <c r="N22" s="3" t="e">
        <f>IF(OR($B22="",N$3=""),"",IF('Mass Ion Calculations'!$D$6="Yes",IF('Mass Ion Calculations'!$D$7="Yes",('Mass Ion Calculations'!$D$18+'AA Exact Masses'!$Q$3+'AA Exact Masses'!$Q$2-'Mass Ion Calculations'!$C$16-'Mass Ion Calculations'!$C23)/2-'Mass Ion Calculations'!$D$5,('Mass Ion Calculations'!$F$18+'AA Exact Masses'!$Q$3+'AA Exact Masses'!$Q$2-'Mass Ion Calculations'!$E$17-'Mass Ion Calculations'!$E23)/2-'Mass Ion Calculations'!$D$5),IF('Mass Ion Calculations'!$D$7="Yes", ('Mass Ion Calculations'!$D$15+'AA Exact Masses'!$Q$3+'AA Exact Masses'!$Q$2-'Mass Ion Calculations'!$C$16-'Mass Ion Calculations'!$C23)/2-'Mass Ion Calculations'!$D$5,('Mass Ion Calculations'!$F$15+'AA Exact Masses'!$Q$3+'AA Exact Masses'!$Q$2-'Mass Ion Calculations'!$E$17-'Mass Ion Calculations'!$E23)/2-'Mass Ion Calculations'!$D$5)))</f>
        <v>#VALUE!</v>
      </c>
      <c r="O22" s="3" t="e">
        <f>IF(OR($B22="",O$3=""),"",IF('Mass Ion Calculations'!$D$6="Yes",IF('Mass Ion Calculations'!$D$7="Yes",('Mass Ion Calculations'!$D$18+'AA Exact Masses'!$Q$3+'AA Exact Masses'!$Q$2-'Mass Ion Calculations'!$C$17-'Mass Ion Calculations'!$C23)/2-'Mass Ion Calculations'!$D$5,('Mass Ion Calculations'!$F$18+'AA Exact Masses'!$Q$3+'AA Exact Masses'!$Q$2-'Mass Ion Calculations'!$E$18-'Mass Ion Calculations'!$E23)/2-'Mass Ion Calculations'!$D$5),IF('Mass Ion Calculations'!$D$7="Yes", ('Mass Ion Calculations'!$D$15+'AA Exact Masses'!$Q$3+'AA Exact Masses'!$Q$2-'Mass Ion Calculations'!$C$17-'Mass Ion Calculations'!$C23)/2-'Mass Ion Calculations'!$D$5,('Mass Ion Calculations'!$F$15+'AA Exact Masses'!$Q$3+'AA Exact Masses'!$Q$2-'Mass Ion Calculations'!$E$18-'Mass Ion Calculations'!$E23)/2-'Mass Ion Calculations'!$D$5)))</f>
        <v>#VALUE!</v>
      </c>
      <c r="P22" s="3" t="e">
        <f>IF(OR($B22="",P$3=""),"",IF('Mass Ion Calculations'!$D$6="Yes",IF('Mass Ion Calculations'!$D$7="Yes",('Mass Ion Calculations'!$D$18+'AA Exact Masses'!$Q$3+'AA Exact Masses'!$Q$2-'Mass Ion Calculations'!$C$19-'Mass Ion Calculations'!$C23)/2-'Mass Ion Calculations'!$D$5,('Mass Ion Calculations'!$F$18+'AA Exact Masses'!$Q$3+'AA Exact Masses'!$Q$2-'Mass Ion Calculations'!$E$19-'Mass Ion Calculations'!$E23)/2-'Mass Ion Calculations'!$D$5),IF('Mass Ion Calculations'!$D$7="Yes", ('Mass Ion Calculations'!$D$15+'AA Exact Masses'!$Q$3+'AA Exact Masses'!$Q$2-'Mass Ion Calculations'!$C$19-'Mass Ion Calculations'!$C23)/2-'Mass Ion Calculations'!$D$5,('Mass Ion Calculations'!$F$15+'AA Exact Masses'!$Q$3+'AA Exact Masses'!$Q$2-'Mass Ion Calculations'!$E$19-'Mass Ion Calculations'!$E23)/2-'Mass Ion Calculations'!$D$5)))</f>
        <v>#VALUE!</v>
      </c>
      <c r="Q22" s="3" t="e">
        <f>IF(OR($B22="",Q$3=""),"",IF('Mass Ion Calculations'!$D$6="Yes",IF('Mass Ion Calculations'!$D$7="Yes",('Mass Ion Calculations'!$D$18+'AA Exact Masses'!$Q$3+'AA Exact Masses'!$Q$2-'Mass Ion Calculations'!$C$20-'Mass Ion Calculations'!$C23)/2-'Mass Ion Calculations'!$D$5,('Mass Ion Calculations'!$F$18+'AA Exact Masses'!$Q$3+'AA Exact Masses'!$Q$2-'Mass Ion Calculations'!$E$20-'Mass Ion Calculations'!$E23)/2-'Mass Ion Calculations'!$D$5),IF('Mass Ion Calculations'!$D$7="Yes", ('Mass Ion Calculations'!$D$15+'AA Exact Masses'!$Q$3+'AA Exact Masses'!$Q$2-'Mass Ion Calculations'!$C$20-'Mass Ion Calculations'!$C23)/2-'Mass Ion Calculations'!$D$5,('Mass Ion Calculations'!$F$15+'AA Exact Masses'!$Q$3+'AA Exact Masses'!$Q$2-'Mass Ion Calculations'!$E$20-'Mass Ion Calculations'!$E23)/2-'Mass Ion Calculations'!$D$5)))</f>
        <v>#VALUE!</v>
      </c>
      <c r="R22" s="3" t="e">
        <f>IF(OR($B22="",R$3=""),"",IF('Mass Ion Calculations'!$D$6="Yes",IF('Mass Ion Calculations'!$D$7="Yes",('Mass Ion Calculations'!$D$18+'AA Exact Masses'!$Q$3+'AA Exact Masses'!$Q$2-'Mass Ion Calculations'!$C$21-'Mass Ion Calculations'!$C23)/2-'Mass Ion Calculations'!$D$5,('Mass Ion Calculations'!$F$18+'AA Exact Masses'!$Q$3+'AA Exact Masses'!$Q$2-'Mass Ion Calculations'!$E$21-'Mass Ion Calculations'!$E23)/2-'Mass Ion Calculations'!$D$5),IF('Mass Ion Calculations'!$D$7="Yes", ('Mass Ion Calculations'!$D$15+'AA Exact Masses'!$Q$3+'AA Exact Masses'!$Q$2-'Mass Ion Calculations'!$C$21-'Mass Ion Calculations'!$C23)/2-'Mass Ion Calculations'!$D$5,('Mass Ion Calculations'!$F$15+'AA Exact Masses'!$Q$3+'AA Exact Masses'!$Q$2-'Mass Ion Calculations'!$E$21-'Mass Ion Calculations'!$E23)/2-'Mass Ion Calculations'!$D$5)))</f>
        <v>#VALUE!</v>
      </c>
      <c r="S22" s="3" t="str">
        <f>IF(OR($B22="",S$3=""),"",IF('Mass Ion Calculations'!$D$6="Yes",IF('Mass Ion Calculations'!$D$7="Yes",('Mass Ion Calculations'!$D$18+'AA Exact Masses'!$Q$3+'AA Exact Masses'!$Q$2-'Mass Ion Calculations'!$C$22-'Mass Ion Calculations'!$C23)/2-'Mass Ion Calculations'!$D$5,('Mass Ion Calculations'!$F$18+'AA Exact Masses'!$Q$3+'AA Exact Masses'!$Q$2-'Mass Ion Calculations'!$E$22-'Mass Ion Calculations'!$E23)/2-'Mass Ion Calculations'!$D$5),IF('Mass Ion Calculations'!$D$7="Yes", ('Mass Ion Calculations'!$D$15+'AA Exact Masses'!$Q$3+'AA Exact Masses'!$Q$2-'Mass Ion Calculations'!$C$22-'Mass Ion Calculations'!$C23)/2-'Mass Ion Calculations'!$D$5,('Mass Ion Calculations'!$F$15+'AA Exact Masses'!$Q$3+'AA Exact Masses'!$Q$2-'Mass Ion Calculations'!$E$22-'Mass Ion Calculations'!$E23)/2-'Mass Ion Calculations'!$D$5)))</f>
        <v/>
      </c>
      <c r="T22" s="3" t="e">
        <f>IF(OR($B22="",T$3=""),"",IF('Mass Ion Calculations'!$D$6="Yes",IF('Mass Ion Calculations'!$D$7="Yes",('Mass Ion Calculations'!$D$18+'AA Exact Masses'!$Q$3+'AA Exact Masses'!$Q$2-'Mass Ion Calculations'!$C$22-'Mass Ion Calculations'!$C23)/2-'Mass Ion Calculations'!$D$5,('Mass Ion Calculations'!$F$18+'AA Exact Masses'!$Q$3+'AA Exact Masses'!$Q$2-'Mass Ion Calculations'!$E$22-'Mass Ion Calculations'!$E23)/2-'Mass Ion Calculations'!$D$5),IF('Mass Ion Calculations'!$D$7="Yes", ('Mass Ion Calculations'!$D$15+'AA Exact Masses'!$Q$3+'AA Exact Masses'!$Q$2-'Mass Ion Calculations'!$C$22-'Mass Ion Calculations'!$C23)/2-'Mass Ion Calculations'!$D$5,('Mass Ion Calculations'!$F$15+'AA Exact Masses'!$Q$3+'AA Exact Masses'!$Q$2-'Mass Ion Calculations'!$E$22-'Mass Ion Calculations'!$E23)/2-'Mass Ion Calculations'!$D$5)))</f>
        <v>#VALUE!</v>
      </c>
      <c r="U22" s="3" t="e">
        <f>IF(OR($B22="",U$3=""),"",IF('Mass Ion Calculations'!$D$6="Yes",IF('Mass Ion Calculations'!$D$7="Yes",('Mass Ion Calculations'!$D$18+'AA Exact Masses'!$Q$3+'AA Exact Masses'!$Q$2-'Mass Ion Calculations'!$C$23-'Mass Ion Calculations'!$C23)/2-'Mass Ion Calculations'!$D$5,('Mass Ion Calculations'!$F$18+'AA Exact Masses'!$Q$3+'AA Exact Masses'!$Q$2-'Mass Ion Calculations'!$E$23-'Mass Ion Calculations'!$E23)/2-'Mass Ion Calculations'!$D$5),IF('Mass Ion Calculations'!$D$7="Yes", ('Mass Ion Calculations'!$D$15+'AA Exact Masses'!$Q$3+'AA Exact Masses'!$Q$2-'Mass Ion Calculations'!$C$23-'Mass Ion Calculations'!$C23)/2-'Mass Ion Calculations'!$D$5,('Mass Ion Calculations'!$F$15+'AA Exact Masses'!$Q$3+'AA Exact Masses'!$Q$2-'Mass Ion Calculations'!$E$23-'Mass Ion Calculations'!$E23)/2-'Mass Ion Calculations'!$D$5)))</f>
        <v>#VALUE!</v>
      </c>
      <c r="V22" s="3" t="str">
        <f>IF(OR($B22="",V$3=""),"",IF('Mass Ion Calculations'!$D$6="Yes",IF('Mass Ion Calculations'!$D$7="Yes",('Mass Ion Calculations'!$D$18+'AA Exact Masses'!$Q$3+'AA Exact Masses'!$Q$2-'Mass Ion Calculations'!$C$24-'Mass Ion Calculations'!$C23)/2-'Mass Ion Calculations'!$D$5,('Mass Ion Calculations'!$F$18+'AA Exact Masses'!$Q$3+'AA Exact Masses'!$Q$2-'Mass Ion Calculations'!$E$24-'Mass Ion Calculations'!$E23)/2-'Mass Ion Calculations'!$D$5),IF('Mass Ion Calculations'!$D$7="Yes", ('Mass Ion Calculations'!$D$15+'AA Exact Masses'!$Q$3+'AA Exact Masses'!$Q$2-'Mass Ion Calculations'!$C$24-'Mass Ion Calculations'!$C23)/2-'Mass Ion Calculations'!$D$5,('Mass Ion Calculations'!$F$15+'AA Exact Masses'!$Q$3+'AA Exact Masses'!$Q$2-'Mass Ion Calculations'!$E$24-'Mass Ion Calculations'!$E23)/2-'Mass Ion Calculations'!$D$5)))</f>
        <v/>
      </c>
      <c r="W22" s="3" t="str">
        <f>IF(OR($B22="",W$3=""),"",IF('Mass Ion Calculations'!$D$6="Yes",IF('Mass Ion Calculations'!$D$7="Yes",('Mass Ion Calculations'!$D$18+'AA Exact Masses'!$Q$3+'AA Exact Masses'!$Q$2-'Mass Ion Calculations'!$C$25-'Mass Ion Calculations'!$C23)/2-'Mass Ion Calculations'!$D$5,('Mass Ion Calculations'!$F$18+'AA Exact Masses'!$Q$3+'AA Exact Masses'!$Q$2-'Mass Ion Calculations'!$E$25-'Mass Ion Calculations'!$E23)/2-'Mass Ion Calculations'!$D$5),IF('Mass Ion Calculations'!$D$7="Yes", ('Mass Ion Calculations'!$D$15+'AA Exact Masses'!$Q$3+'AA Exact Masses'!$Q$2-'Mass Ion Calculations'!$C$25-'Mass Ion Calculations'!$C23)/2-'Mass Ion Calculations'!$D$5,('Mass Ion Calculations'!$F$15+'AA Exact Masses'!$Q$3+'AA Exact Masses'!$Q$2-'Mass Ion Calculations'!$E$25-'Mass Ion Calculations'!$E23)/2-'Mass Ion Calculations'!$D$5)))</f>
        <v/>
      </c>
      <c r="X22" s="3" t="str">
        <f>IF(OR($B22="",X$3=""),"",IF('Mass Ion Calculations'!$D$6="Yes",IF('Mass Ion Calculations'!$D$7="Yes",('Mass Ion Calculations'!$D$18+'AA Exact Masses'!$Q$3+'AA Exact Masses'!$Q$2-'Mass Ion Calculations'!$C$26-'Mass Ion Calculations'!$C23)/2-'Mass Ion Calculations'!$D$5,('Mass Ion Calculations'!$F$18+'AA Exact Masses'!$Q$3+'AA Exact Masses'!$Q$2-'Mass Ion Calculations'!$E$26-'Mass Ion Calculations'!$E23)/2-'Mass Ion Calculations'!$D$5),IF('Mass Ion Calculations'!$D$7="Yes", ('Mass Ion Calculations'!$D$15+'AA Exact Masses'!$Q$3+'AA Exact Masses'!$Q$2-'Mass Ion Calculations'!$C$26-'Mass Ion Calculations'!$C23)/2-'Mass Ion Calculations'!$D$5,('Mass Ion Calculations'!$F$15+'AA Exact Masses'!$Q$3+'AA Exact Masses'!$Q$2-'Mass Ion Calculations'!$E$26-'Mass Ion Calculations'!$E23)/2-'Mass Ion Calculations'!$D$5)))</f>
        <v/>
      </c>
      <c r="Y22" s="3" t="str">
        <f>IF(OR($B22="",Y$3=""),"",IF('Mass Ion Calculations'!$D$6="Yes",IF('Mass Ion Calculations'!$D$7="Yes",('Mass Ion Calculations'!$D$18+'AA Exact Masses'!$Q$3+'AA Exact Masses'!$Q$2-'Mass Ion Calculations'!$C$27-'Mass Ion Calculations'!$C23)/2-'Mass Ion Calculations'!$D$5,('Mass Ion Calculations'!$F$18+'AA Exact Masses'!$Q$3+'AA Exact Masses'!$Q$2-'Mass Ion Calculations'!$E$27-'Mass Ion Calculations'!$E23)/2-'Mass Ion Calculations'!$D$5),IF('Mass Ion Calculations'!$D$7="Yes", ('Mass Ion Calculations'!$D$15+'AA Exact Masses'!$Q$3+'AA Exact Masses'!$Q$2-'Mass Ion Calculations'!$C$27-'Mass Ion Calculations'!$C23)/2-'Mass Ion Calculations'!$D$5,('Mass Ion Calculations'!$F$15+'AA Exact Masses'!$Q$3+'AA Exact Masses'!$Q$2-'Mass Ion Calculations'!$E$27-'Mass Ion Calculations'!$E23)/2-'Mass Ion Calculations'!$D$5)))</f>
        <v/>
      </c>
      <c r="Z22" s="3" t="str">
        <f>IF(OR($B22="",Z$3=""),"",IF('Mass Ion Calculations'!$D$6="Yes",IF('Mass Ion Calculations'!$D$7="Yes",('Mass Ion Calculations'!$D$18+'AA Exact Masses'!$Q$3+'AA Exact Masses'!$Q$2-'Mass Ion Calculations'!$C$28-'Mass Ion Calculations'!$C23)/2-'Mass Ion Calculations'!$D$5,('Mass Ion Calculations'!$F$18+'AA Exact Masses'!$Q$3+'AA Exact Masses'!$Q$2-'Mass Ion Calculations'!$E$28-'Mass Ion Calculations'!$E23)/2-'Mass Ion Calculations'!$D$5),IF('Mass Ion Calculations'!$D$7="Yes", ('Mass Ion Calculations'!$D$15+'AA Exact Masses'!$Q$3+'AA Exact Masses'!$Q$2-'Mass Ion Calculations'!$C$28-'Mass Ion Calculations'!$C23)/2-'Mass Ion Calculations'!$D$5,('Mass Ion Calculations'!$F$15+'AA Exact Masses'!$Q$3+'AA Exact Masses'!$Q$2-'Mass Ion Calculations'!$E$28-'Mass Ion Calculations'!$E23)/2-'Mass Ion Calculations'!$D$5)))</f>
        <v/>
      </c>
    </row>
    <row r="23" spans="2:26" x14ac:dyDescent="0.25">
      <c r="B23" s="4" t="str">
        <f>IF('Mass Ion Calculations'!B24="","", 'Mass Ion Calculations'!B24)</f>
        <v/>
      </c>
      <c r="C23" s="3" t="str">
        <f>IF(OR($B23="",C$3=""),"",IF('Mass Ion Calculations'!$D$6="Yes",IF('Mass Ion Calculations'!$D$7="Yes",('Mass Ion Calculations'!$D$18+'AA Exact Masses'!$Q$3+'AA Exact Masses'!$Q$2-'Mass Ion Calculations'!$C$5-'Mass Ion Calculations'!$C24)/2-'Mass Ion Calculations'!$D$5,('Mass Ion Calculations'!$F$18+'AA Exact Masses'!$Q$3+'AA Exact Masses'!$Q$2-'Mass Ion Calculations'!$E$5-'Mass Ion Calculations'!$E24)/2-'Mass Ion Calculations'!$D$5),IF('Mass Ion Calculations'!$D$7="Yes", ('Mass Ion Calculations'!$D$15+'AA Exact Masses'!$Q$3+'AA Exact Masses'!$Q$2-'Mass Ion Calculations'!$C$5-'Mass Ion Calculations'!$C24)/2-'Mass Ion Calculations'!$D$5,('Mass Ion Calculations'!$F$15+'AA Exact Masses'!$Q$3+'AA Exact Masses'!$Q$2-'Mass Ion Calculations'!$E$5-'Mass Ion Calculations'!$E24)/2-'Mass Ion Calculations'!$D$5)))</f>
        <v/>
      </c>
      <c r="D23" s="3" t="str">
        <f>IF(OR($B23="",D$3=""),"",IF('Mass Ion Calculations'!$D$6="Yes",IF('Mass Ion Calculations'!$D$7="Yes",('Mass Ion Calculations'!$D$18+'AA Exact Masses'!$Q$3+'AA Exact Masses'!$Q$2-'Mass Ion Calculations'!$C$6-'Mass Ion Calculations'!$C24)/2-'Mass Ion Calculations'!$D$5,('Mass Ion Calculations'!$F$18+'AA Exact Masses'!$Q$3+'AA Exact Masses'!$Q$2-'Mass Ion Calculations'!$E$6-'Mass Ion Calculations'!$E24)/2-'Mass Ion Calculations'!$D$5),IF('Mass Ion Calculations'!$D$7="Yes", ('Mass Ion Calculations'!$D$15+'AA Exact Masses'!$Q$3+'AA Exact Masses'!$Q$2-'Mass Ion Calculations'!$C$6-'Mass Ion Calculations'!$C24)/2-'Mass Ion Calculations'!$D$5,('Mass Ion Calculations'!$F$15+'AA Exact Masses'!$Q$3+'AA Exact Masses'!$Q$2-'Mass Ion Calculations'!$E$6-'Mass Ion Calculations'!$E24)/2-'Mass Ion Calculations'!$D$5)))</f>
        <v/>
      </c>
      <c r="E23" s="3" t="str">
        <f>IF(OR($B23="",E$3=""),"",IF('Mass Ion Calculations'!$D$6="Yes",IF('Mass Ion Calculations'!$D$7="Yes",('Mass Ion Calculations'!$D$18+'AA Exact Masses'!$Q$3+'AA Exact Masses'!$Q$2-'Mass Ion Calculations'!$C$7-'Mass Ion Calculations'!$C24)/2-'Mass Ion Calculations'!$D$5,('Mass Ion Calculations'!$F$18+'AA Exact Masses'!$Q$3+'AA Exact Masses'!$Q$2-'Mass Ion Calculations'!$E$7-'Mass Ion Calculations'!$E24)/2-'Mass Ion Calculations'!$D$5),IF('Mass Ion Calculations'!$D$7="Yes", ('Mass Ion Calculations'!$D$15+'AA Exact Masses'!$Q$3+'AA Exact Masses'!$Q$2-'Mass Ion Calculations'!$C$7-'Mass Ion Calculations'!$C24)/2-'Mass Ion Calculations'!$D$5,('Mass Ion Calculations'!$F$15+'AA Exact Masses'!$Q$3+'AA Exact Masses'!$Q$2-'Mass Ion Calculations'!$E$7-'Mass Ion Calculations'!$E24)/2-'Mass Ion Calculations'!$D$5)))</f>
        <v/>
      </c>
      <c r="F23" s="3" t="str">
        <f>IF(OR($B23="",F$3=""),"",IF('Mass Ion Calculations'!$D$6="Yes",IF('Mass Ion Calculations'!$D$7="Yes",('Mass Ion Calculations'!$D$18+'AA Exact Masses'!$Q$3+'AA Exact Masses'!$Q$2-'Mass Ion Calculations'!$C$8-'Mass Ion Calculations'!$C24)/2-'Mass Ion Calculations'!$D$5,('Mass Ion Calculations'!$F$18+'AA Exact Masses'!$Q$3+'AA Exact Masses'!$Q$2-'Mass Ion Calculations'!$E$8-'Mass Ion Calculations'!$E24)/2-'Mass Ion Calculations'!$D$5),IF('Mass Ion Calculations'!$D$7="Yes", ('Mass Ion Calculations'!$D$15+'AA Exact Masses'!$Q$3+'AA Exact Masses'!$Q$2-'Mass Ion Calculations'!$C$8-'Mass Ion Calculations'!$C24)/2-'Mass Ion Calculations'!$D$5,('Mass Ion Calculations'!$F$15+'AA Exact Masses'!$Q$3+'AA Exact Masses'!$Q$2-'Mass Ion Calculations'!$E$8-'Mass Ion Calculations'!$E24)/2-'Mass Ion Calculations'!$D$5)))</f>
        <v/>
      </c>
      <c r="G23" s="3" t="str">
        <f>IF(OR($B23="",G$3=""),"",IF('Mass Ion Calculations'!$D$6="Yes",IF('Mass Ion Calculations'!$D$7="Yes",('Mass Ion Calculations'!$D$18+'AA Exact Masses'!$Q$3+'AA Exact Masses'!$Q$2-'Mass Ion Calculations'!$C$9-'Mass Ion Calculations'!$C24)/2-'Mass Ion Calculations'!$D$5,('Mass Ion Calculations'!$F$18+'AA Exact Masses'!$Q$3+'AA Exact Masses'!$Q$2-'Mass Ion Calculations'!$E$9-'Mass Ion Calculations'!$E24)/2-'Mass Ion Calculations'!$D$5),IF('Mass Ion Calculations'!$D$7="Yes", ('Mass Ion Calculations'!$D$15+'AA Exact Masses'!$Q$3+'AA Exact Masses'!$Q$2-'Mass Ion Calculations'!$C$9-'Mass Ion Calculations'!$C24)/2-'Mass Ion Calculations'!$D$5,('Mass Ion Calculations'!$F$15+'AA Exact Masses'!$Q$3+'AA Exact Masses'!$Q$2-'Mass Ion Calculations'!$E$9-'Mass Ion Calculations'!$E24)/2-'Mass Ion Calculations'!$D$5)))</f>
        <v/>
      </c>
      <c r="H23" s="3" t="str">
        <f>IF(OR($B23="",H$3=""),"",IF('Mass Ion Calculations'!$D$6="Yes",IF('Mass Ion Calculations'!$D$7="Yes",('Mass Ion Calculations'!$D$18+'AA Exact Masses'!$Q$3+'AA Exact Masses'!$Q$2-'Mass Ion Calculations'!$C$10-'Mass Ion Calculations'!$C24)/2-'Mass Ion Calculations'!$D$5,('Mass Ion Calculations'!$F$18+'AA Exact Masses'!$Q$3+'AA Exact Masses'!$Q$2-'Mass Ion Calculations'!$E$10-'Mass Ion Calculations'!$E24)/2-'Mass Ion Calculations'!$D$5),IF('Mass Ion Calculations'!$D$7="Yes", ('Mass Ion Calculations'!$D$15+'AA Exact Masses'!$Q$3+'AA Exact Masses'!$Q$2-'Mass Ion Calculations'!$C$10-'Mass Ion Calculations'!$C24)/2-'Mass Ion Calculations'!$D$5,('Mass Ion Calculations'!$F$15+'AA Exact Masses'!$Q$3+'AA Exact Masses'!$Q$2-'Mass Ion Calculations'!$E$10-'Mass Ion Calculations'!$E24)/2-'Mass Ion Calculations'!$D$5)))</f>
        <v/>
      </c>
      <c r="I23" s="3" t="str">
        <f>IF(OR($B23="",I$3=""),"",IF('Mass Ion Calculations'!$D$6="Yes",IF('Mass Ion Calculations'!$D$7="Yes",('Mass Ion Calculations'!$D$18+'AA Exact Masses'!$Q$3+'AA Exact Masses'!$Q$2-'Mass Ion Calculations'!$C$11-'Mass Ion Calculations'!$C24)/2-'Mass Ion Calculations'!$D$5,('Mass Ion Calculations'!$F$18+'AA Exact Masses'!$Q$3+'AA Exact Masses'!$Q$2-'Mass Ion Calculations'!$E$11-'Mass Ion Calculations'!$E24)/2-'Mass Ion Calculations'!$D$5),IF('Mass Ion Calculations'!$D$7="Yes", ('Mass Ion Calculations'!$D$15+'AA Exact Masses'!$Q$3+'AA Exact Masses'!$Q$2-'Mass Ion Calculations'!$C$11-'Mass Ion Calculations'!$C24)/2-'Mass Ion Calculations'!$D$5,('Mass Ion Calculations'!$F$15+'AA Exact Masses'!$Q$3+'AA Exact Masses'!$Q$2-'Mass Ion Calculations'!$E$11-'Mass Ion Calculations'!$E24)/2-'Mass Ion Calculations'!$D$5)))</f>
        <v/>
      </c>
      <c r="J23" s="3" t="str">
        <f>IF(OR($B23="",J$3=""),"",IF('Mass Ion Calculations'!$D$6="Yes",IF('Mass Ion Calculations'!$D$7="Yes",('Mass Ion Calculations'!$D$18+'AA Exact Masses'!$Q$3+'AA Exact Masses'!$Q$2-'Mass Ion Calculations'!$C$12-'Mass Ion Calculations'!$C24)/2-'Mass Ion Calculations'!$D$5,('Mass Ion Calculations'!$F$18+'AA Exact Masses'!$Q$3+'AA Exact Masses'!$Q$2-'Mass Ion Calculations'!$E$12-'Mass Ion Calculations'!$E24)/2-'Mass Ion Calculations'!$D$5),IF('Mass Ion Calculations'!$D$7="Yes", ('Mass Ion Calculations'!$D$15+'AA Exact Masses'!$Q$3+'AA Exact Masses'!$Q$2-'Mass Ion Calculations'!$C$12-'Mass Ion Calculations'!$C24)/2-'Mass Ion Calculations'!$D$5,('Mass Ion Calculations'!$F$15+'AA Exact Masses'!$Q$3+'AA Exact Masses'!$Q$2-'Mass Ion Calculations'!$E$12-'Mass Ion Calculations'!$E24)/2-'Mass Ion Calculations'!$D$5)))</f>
        <v/>
      </c>
      <c r="K23" s="3" t="str">
        <f>IF(OR($B23="",K$3=""),"",IF('Mass Ion Calculations'!$D$6="Yes",IF('Mass Ion Calculations'!$D$7="Yes",('Mass Ion Calculations'!$D$18+'AA Exact Masses'!$Q$3+'AA Exact Masses'!$Q$2-'Mass Ion Calculations'!$C$13-'Mass Ion Calculations'!$C24)/2-'Mass Ion Calculations'!$D$5,('Mass Ion Calculations'!$F$18+'AA Exact Masses'!$Q$3+'AA Exact Masses'!$Q$2-'Mass Ion Calculations'!$E$14-'Mass Ion Calculations'!$E24)/2-'Mass Ion Calculations'!$D$5),IF('Mass Ion Calculations'!$D$7="Yes", ('Mass Ion Calculations'!$D$15+'AA Exact Masses'!$Q$3+'AA Exact Masses'!$Q$2-'Mass Ion Calculations'!$C$13-'Mass Ion Calculations'!$C24)/2-'Mass Ion Calculations'!$D$5,('Mass Ion Calculations'!$F$15+'AA Exact Masses'!$Q$3+'AA Exact Masses'!$Q$2-'Mass Ion Calculations'!$E$14-'Mass Ion Calculations'!$E24)/2-'Mass Ion Calculations'!$D$5)))</f>
        <v/>
      </c>
      <c r="L23" s="3" t="str">
        <f>IF(OR($B23="",L$3=""),"",IF('Mass Ion Calculations'!$D$6="Yes",IF('Mass Ion Calculations'!$D$7="Yes",('Mass Ion Calculations'!$D$18+'AA Exact Masses'!$Q$3+'AA Exact Masses'!$Q$2-'Mass Ion Calculations'!$C$14-'Mass Ion Calculations'!$C24)/2-'Mass Ion Calculations'!$D$5,('Mass Ion Calculations'!$F$18+'AA Exact Masses'!$Q$3+'AA Exact Masses'!$Q$2-'Mass Ion Calculations'!$E$15-'Mass Ion Calculations'!$E24)/2-'Mass Ion Calculations'!$D$5),IF('Mass Ion Calculations'!$D$7="Yes", ('Mass Ion Calculations'!$D$15+'AA Exact Masses'!$Q$3+'AA Exact Masses'!$Q$2-'Mass Ion Calculations'!$C$14-'Mass Ion Calculations'!$C24)/2-'Mass Ion Calculations'!$D$5,('Mass Ion Calculations'!$F$15+'AA Exact Masses'!$Q$3+'AA Exact Masses'!$Q$2-'Mass Ion Calculations'!$E$15-'Mass Ion Calculations'!$E24)/2-'Mass Ion Calculations'!$D$5)))</f>
        <v/>
      </c>
      <c r="M23" s="3" t="str">
        <f>IF(OR($B23="",M$3=""),"",IF('Mass Ion Calculations'!$D$6="Yes",IF('Mass Ion Calculations'!$D$7="Yes",('Mass Ion Calculations'!$D$18+'AA Exact Masses'!$Q$3+'AA Exact Masses'!$Q$2-'Mass Ion Calculations'!$C$15-'Mass Ion Calculations'!$C24)/2-'Mass Ion Calculations'!$D$5,('Mass Ion Calculations'!$F$18+'AA Exact Masses'!$Q$3+'AA Exact Masses'!$Q$2-'Mass Ion Calculations'!$E$16-'Mass Ion Calculations'!$E24)/2-'Mass Ion Calculations'!$D$5),IF('Mass Ion Calculations'!$D$7="Yes", ('Mass Ion Calculations'!$D$15+'AA Exact Masses'!$Q$3+'AA Exact Masses'!$Q$2-'Mass Ion Calculations'!$C$15-'Mass Ion Calculations'!$C24)/2-'Mass Ion Calculations'!$D$5,('Mass Ion Calculations'!$F$15+'AA Exact Masses'!$Q$3+'AA Exact Masses'!$Q$2-'Mass Ion Calculations'!$E$16-'Mass Ion Calculations'!$E24)/2-'Mass Ion Calculations'!$D$5)))</f>
        <v/>
      </c>
      <c r="N23" s="3" t="str">
        <f>IF(OR($B23="",N$3=""),"",IF('Mass Ion Calculations'!$D$6="Yes",IF('Mass Ion Calculations'!$D$7="Yes",('Mass Ion Calculations'!$D$18+'AA Exact Masses'!$Q$3+'AA Exact Masses'!$Q$2-'Mass Ion Calculations'!$C$16-'Mass Ion Calculations'!$C24)/2-'Mass Ion Calculations'!$D$5,('Mass Ion Calculations'!$F$18+'AA Exact Masses'!$Q$3+'AA Exact Masses'!$Q$2-'Mass Ion Calculations'!$E$17-'Mass Ion Calculations'!$E24)/2-'Mass Ion Calculations'!$D$5),IF('Mass Ion Calculations'!$D$7="Yes", ('Mass Ion Calculations'!$D$15+'AA Exact Masses'!$Q$3+'AA Exact Masses'!$Q$2-'Mass Ion Calculations'!$C$16-'Mass Ion Calculations'!$C24)/2-'Mass Ion Calculations'!$D$5,('Mass Ion Calculations'!$F$15+'AA Exact Masses'!$Q$3+'AA Exact Masses'!$Q$2-'Mass Ion Calculations'!$E$17-'Mass Ion Calculations'!$E24)/2-'Mass Ion Calculations'!$D$5)))</f>
        <v/>
      </c>
      <c r="O23" s="3" t="str">
        <f>IF(OR($B23="",O$3=""),"",IF('Mass Ion Calculations'!$D$6="Yes",IF('Mass Ion Calculations'!$D$7="Yes",('Mass Ion Calculations'!$D$18+'AA Exact Masses'!$Q$3+'AA Exact Masses'!$Q$2-'Mass Ion Calculations'!$C$17-'Mass Ion Calculations'!$C24)/2-'Mass Ion Calculations'!$D$5,('Mass Ion Calculations'!$F$18+'AA Exact Masses'!$Q$3+'AA Exact Masses'!$Q$2-'Mass Ion Calculations'!$E$18-'Mass Ion Calculations'!$E24)/2-'Mass Ion Calculations'!$D$5),IF('Mass Ion Calculations'!$D$7="Yes", ('Mass Ion Calculations'!$D$15+'AA Exact Masses'!$Q$3+'AA Exact Masses'!$Q$2-'Mass Ion Calculations'!$C$17-'Mass Ion Calculations'!$C24)/2-'Mass Ion Calculations'!$D$5,('Mass Ion Calculations'!$F$15+'AA Exact Masses'!$Q$3+'AA Exact Masses'!$Q$2-'Mass Ion Calculations'!$E$18-'Mass Ion Calculations'!$E24)/2-'Mass Ion Calculations'!$D$5)))</f>
        <v/>
      </c>
      <c r="P23" s="3" t="str">
        <f>IF(OR($B23="",P$3=""),"",IF('Mass Ion Calculations'!$D$6="Yes",IF('Mass Ion Calculations'!$D$7="Yes",('Mass Ion Calculations'!$D$18+'AA Exact Masses'!$Q$3+'AA Exact Masses'!$Q$2-'Mass Ion Calculations'!$C$19-'Mass Ion Calculations'!$C24)/2-'Mass Ion Calculations'!$D$5,('Mass Ion Calculations'!$F$18+'AA Exact Masses'!$Q$3+'AA Exact Masses'!$Q$2-'Mass Ion Calculations'!$E$19-'Mass Ion Calculations'!$E24)/2-'Mass Ion Calculations'!$D$5),IF('Mass Ion Calculations'!$D$7="Yes", ('Mass Ion Calculations'!$D$15+'AA Exact Masses'!$Q$3+'AA Exact Masses'!$Q$2-'Mass Ion Calculations'!$C$19-'Mass Ion Calculations'!$C24)/2-'Mass Ion Calculations'!$D$5,('Mass Ion Calculations'!$F$15+'AA Exact Masses'!$Q$3+'AA Exact Masses'!$Q$2-'Mass Ion Calculations'!$E$19-'Mass Ion Calculations'!$E24)/2-'Mass Ion Calculations'!$D$5)))</f>
        <v/>
      </c>
      <c r="Q23" s="3" t="str">
        <f>IF(OR($B23="",Q$3=""),"",IF('Mass Ion Calculations'!$D$6="Yes",IF('Mass Ion Calculations'!$D$7="Yes",('Mass Ion Calculations'!$D$18+'AA Exact Masses'!$Q$3+'AA Exact Masses'!$Q$2-'Mass Ion Calculations'!$C$20-'Mass Ion Calculations'!$C24)/2-'Mass Ion Calculations'!$D$5,('Mass Ion Calculations'!$F$18+'AA Exact Masses'!$Q$3+'AA Exact Masses'!$Q$2-'Mass Ion Calculations'!$E$20-'Mass Ion Calculations'!$E24)/2-'Mass Ion Calculations'!$D$5),IF('Mass Ion Calculations'!$D$7="Yes", ('Mass Ion Calculations'!$D$15+'AA Exact Masses'!$Q$3+'AA Exact Masses'!$Q$2-'Mass Ion Calculations'!$C$20-'Mass Ion Calculations'!$C24)/2-'Mass Ion Calculations'!$D$5,('Mass Ion Calculations'!$F$15+'AA Exact Masses'!$Q$3+'AA Exact Masses'!$Q$2-'Mass Ion Calculations'!$E$20-'Mass Ion Calculations'!$E24)/2-'Mass Ion Calculations'!$D$5)))</f>
        <v/>
      </c>
      <c r="R23" s="3" t="str">
        <f>IF(OR($B23="",R$3=""),"",IF('Mass Ion Calculations'!$D$6="Yes",IF('Mass Ion Calculations'!$D$7="Yes",('Mass Ion Calculations'!$D$18+'AA Exact Masses'!$Q$3+'AA Exact Masses'!$Q$2-'Mass Ion Calculations'!$C$21-'Mass Ion Calculations'!$C24)/2-'Mass Ion Calculations'!$D$5,('Mass Ion Calculations'!$F$18+'AA Exact Masses'!$Q$3+'AA Exact Masses'!$Q$2-'Mass Ion Calculations'!$E$21-'Mass Ion Calculations'!$E24)/2-'Mass Ion Calculations'!$D$5),IF('Mass Ion Calculations'!$D$7="Yes", ('Mass Ion Calculations'!$D$15+'AA Exact Masses'!$Q$3+'AA Exact Masses'!$Q$2-'Mass Ion Calculations'!$C$21-'Mass Ion Calculations'!$C24)/2-'Mass Ion Calculations'!$D$5,('Mass Ion Calculations'!$F$15+'AA Exact Masses'!$Q$3+'AA Exact Masses'!$Q$2-'Mass Ion Calculations'!$E$21-'Mass Ion Calculations'!$E24)/2-'Mass Ion Calculations'!$D$5)))</f>
        <v/>
      </c>
      <c r="S23" s="3" t="str">
        <f>IF(OR($B23="",S$3=""),"",IF('Mass Ion Calculations'!$D$6="Yes",IF('Mass Ion Calculations'!$D$7="Yes",('Mass Ion Calculations'!$D$18+'AA Exact Masses'!$Q$3+'AA Exact Masses'!$Q$2-'Mass Ion Calculations'!$C$22-'Mass Ion Calculations'!$C24)/2-'Mass Ion Calculations'!$D$5,('Mass Ion Calculations'!$F$18+'AA Exact Masses'!$Q$3+'AA Exact Masses'!$Q$2-'Mass Ion Calculations'!$E$22-'Mass Ion Calculations'!$E24)/2-'Mass Ion Calculations'!$D$5),IF('Mass Ion Calculations'!$D$7="Yes", ('Mass Ion Calculations'!$D$15+'AA Exact Masses'!$Q$3+'AA Exact Masses'!$Q$2-'Mass Ion Calculations'!$C$22-'Mass Ion Calculations'!$C24)/2-'Mass Ion Calculations'!$D$5,('Mass Ion Calculations'!$F$15+'AA Exact Masses'!$Q$3+'AA Exact Masses'!$Q$2-'Mass Ion Calculations'!$E$22-'Mass Ion Calculations'!$E24)/2-'Mass Ion Calculations'!$D$5)))</f>
        <v/>
      </c>
      <c r="T23" s="3" t="str">
        <f>IF(OR($B23="",T$3=""),"",IF('Mass Ion Calculations'!$D$6="Yes",IF('Mass Ion Calculations'!$D$7="Yes",('Mass Ion Calculations'!$D$18+'AA Exact Masses'!$Q$3+'AA Exact Masses'!$Q$2-'Mass Ion Calculations'!$C$22-'Mass Ion Calculations'!$C24)/2-'Mass Ion Calculations'!$D$5,('Mass Ion Calculations'!$F$18+'AA Exact Masses'!$Q$3+'AA Exact Masses'!$Q$2-'Mass Ion Calculations'!$E$22-'Mass Ion Calculations'!$E24)/2-'Mass Ion Calculations'!$D$5),IF('Mass Ion Calculations'!$D$7="Yes", ('Mass Ion Calculations'!$D$15+'AA Exact Masses'!$Q$3+'AA Exact Masses'!$Q$2-'Mass Ion Calculations'!$C$22-'Mass Ion Calculations'!$C24)/2-'Mass Ion Calculations'!$D$5,('Mass Ion Calculations'!$F$15+'AA Exact Masses'!$Q$3+'AA Exact Masses'!$Q$2-'Mass Ion Calculations'!$E$22-'Mass Ion Calculations'!$E24)/2-'Mass Ion Calculations'!$D$5)))</f>
        <v/>
      </c>
      <c r="U23" s="3" t="str">
        <f>IF(OR($B23="",U$3=""),"",IF('Mass Ion Calculations'!$D$6="Yes",IF('Mass Ion Calculations'!$D$7="Yes",('Mass Ion Calculations'!$D$18+'AA Exact Masses'!$Q$3+'AA Exact Masses'!$Q$2-'Mass Ion Calculations'!$C$23-'Mass Ion Calculations'!$C24)/2-'Mass Ion Calculations'!$D$5,('Mass Ion Calculations'!$F$18+'AA Exact Masses'!$Q$3+'AA Exact Masses'!$Q$2-'Mass Ion Calculations'!$E$23-'Mass Ion Calculations'!$E24)/2-'Mass Ion Calculations'!$D$5),IF('Mass Ion Calculations'!$D$7="Yes", ('Mass Ion Calculations'!$D$15+'AA Exact Masses'!$Q$3+'AA Exact Masses'!$Q$2-'Mass Ion Calculations'!$C$23-'Mass Ion Calculations'!$C24)/2-'Mass Ion Calculations'!$D$5,('Mass Ion Calculations'!$F$15+'AA Exact Masses'!$Q$3+'AA Exact Masses'!$Q$2-'Mass Ion Calculations'!$E$23-'Mass Ion Calculations'!$E24)/2-'Mass Ion Calculations'!$D$5)))</f>
        <v/>
      </c>
      <c r="V23" s="3" t="str">
        <f>IF(OR($B23="",V$3=""),"",IF('Mass Ion Calculations'!$D$6="Yes",IF('Mass Ion Calculations'!$D$7="Yes",('Mass Ion Calculations'!$D$18+'AA Exact Masses'!$Q$3+'AA Exact Masses'!$Q$2-'Mass Ion Calculations'!$C$24-'Mass Ion Calculations'!$C24)/2-'Mass Ion Calculations'!$D$5,('Mass Ion Calculations'!$F$18+'AA Exact Masses'!$Q$3+'AA Exact Masses'!$Q$2-'Mass Ion Calculations'!$E$24-'Mass Ion Calculations'!$E24)/2-'Mass Ion Calculations'!$D$5),IF('Mass Ion Calculations'!$D$7="Yes", ('Mass Ion Calculations'!$D$15+'AA Exact Masses'!$Q$3+'AA Exact Masses'!$Q$2-'Mass Ion Calculations'!$C$24-'Mass Ion Calculations'!$C24)/2-'Mass Ion Calculations'!$D$5,('Mass Ion Calculations'!$F$15+'AA Exact Masses'!$Q$3+'AA Exact Masses'!$Q$2-'Mass Ion Calculations'!$E$24-'Mass Ion Calculations'!$E24)/2-'Mass Ion Calculations'!$D$5)))</f>
        <v/>
      </c>
      <c r="W23" s="3" t="str">
        <f>IF(OR($B23="",W$3=""),"",IF('Mass Ion Calculations'!$D$6="Yes",IF('Mass Ion Calculations'!$D$7="Yes",('Mass Ion Calculations'!$D$18+'AA Exact Masses'!$Q$3+'AA Exact Masses'!$Q$2-'Mass Ion Calculations'!$C$25-'Mass Ion Calculations'!$C24)/2-'Mass Ion Calculations'!$D$5,('Mass Ion Calculations'!$F$18+'AA Exact Masses'!$Q$3+'AA Exact Masses'!$Q$2-'Mass Ion Calculations'!$E$25-'Mass Ion Calculations'!$E24)/2-'Mass Ion Calculations'!$D$5),IF('Mass Ion Calculations'!$D$7="Yes", ('Mass Ion Calculations'!$D$15+'AA Exact Masses'!$Q$3+'AA Exact Masses'!$Q$2-'Mass Ion Calculations'!$C$25-'Mass Ion Calculations'!$C24)/2-'Mass Ion Calculations'!$D$5,('Mass Ion Calculations'!$F$15+'AA Exact Masses'!$Q$3+'AA Exact Masses'!$Q$2-'Mass Ion Calculations'!$E$25-'Mass Ion Calculations'!$E24)/2-'Mass Ion Calculations'!$D$5)))</f>
        <v/>
      </c>
      <c r="X23" s="3" t="str">
        <f>IF(OR($B23="",X$3=""),"",IF('Mass Ion Calculations'!$D$6="Yes",IF('Mass Ion Calculations'!$D$7="Yes",('Mass Ion Calculations'!$D$18+'AA Exact Masses'!$Q$3+'AA Exact Masses'!$Q$2-'Mass Ion Calculations'!$C$26-'Mass Ion Calculations'!$C24)/2-'Mass Ion Calculations'!$D$5,('Mass Ion Calculations'!$F$18+'AA Exact Masses'!$Q$3+'AA Exact Masses'!$Q$2-'Mass Ion Calculations'!$E$26-'Mass Ion Calculations'!$E24)/2-'Mass Ion Calculations'!$D$5),IF('Mass Ion Calculations'!$D$7="Yes", ('Mass Ion Calculations'!$D$15+'AA Exact Masses'!$Q$3+'AA Exact Masses'!$Q$2-'Mass Ion Calculations'!$C$26-'Mass Ion Calculations'!$C24)/2-'Mass Ion Calculations'!$D$5,('Mass Ion Calculations'!$F$15+'AA Exact Masses'!$Q$3+'AA Exact Masses'!$Q$2-'Mass Ion Calculations'!$E$26-'Mass Ion Calculations'!$E24)/2-'Mass Ion Calculations'!$D$5)))</f>
        <v/>
      </c>
      <c r="Y23" s="3" t="str">
        <f>IF(OR($B23="",Y$3=""),"",IF('Mass Ion Calculations'!$D$6="Yes",IF('Mass Ion Calculations'!$D$7="Yes",('Mass Ion Calculations'!$D$18+'AA Exact Masses'!$Q$3+'AA Exact Masses'!$Q$2-'Mass Ion Calculations'!$C$27-'Mass Ion Calculations'!$C24)/2-'Mass Ion Calculations'!$D$5,('Mass Ion Calculations'!$F$18+'AA Exact Masses'!$Q$3+'AA Exact Masses'!$Q$2-'Mass Ion Calculations'!$E$27-'Mass Ion Calculations'!$E24)/2-'Mass Ion Calculations'!$D$5),IF('Mass Ion Calculations'!$D$7="Yes", ('Mass Ion Calculations'!$D$15+'AA Exact Masses'!$Q$3+'AA Exact Masses'!$Q$2-'Mass Ion Calculations'!$C$27-'Mass Ion Calculations'!$C24)/2-'Mass Ion Calculations'!$D$5,('Mass Ion Calculations'!$F$15+'AA Exact Masses'!$Q$3+'AA Exact Masses'!$Q$2-'Mass Ion Calculations'!$E$27-'Mass Ion Calculations'!$E24)/2-'Mass Ion Calculations'!$D$5)))</f>
        <v/>
      </c>
      <c r="Z23" s="3" t="str">
        <f>IF(OR($B23="",Z$3=""),"",IF('Mass Ion Calculations'!$D$6="Yes",IF('Mass Ion Calculations'!$D$7="Yes",('Mass Ion Calculations'!$D$18+'AA Exact Masses'!$Q$3+'AA Exact Masses'!$Q$2-'Mass Ion Calculations'!$C$28-'Mass Ion Calculations'!$C24)/2-'Mass Ion Calculations'!$D$5,('Mass Ion Calculations'!$F$18+'AA Exact Masses'!$Q$3+'AA Exact Masses'!$Q$2-'Mass Ion Calculations'!$E$28-'Mass Ion Calculations'!$E24)/2-'Mass Ion Calculations'!$D$5),IF('Mass Ion Calculations'!$D$7="Yes", ('Mass Ion Calculations'!$D$15+'AA Exact Masses'!$Q$3+'AA Exact Masses'!$Q$2-'Mass Ion Calculations'!$C$28-'Mass Ion Calculations'!$C24)/2-'Mass Ion Calculations'!$D$5,('Mass Ion Calculations'!$F$15+'AA Exact Masses'!$Q$3+'AA Exact Masses'!$Q$2-'Mass Ion Calculations'!$E$28-'Mass Ion Calculations'!$E24)/2-'Mass Ion Calculations'!$D$5)))</f>
        <v/>
      </c>
    </row>
    <row r="24" spans="2:26" x14ac:dyDescent="0.25">
      <c r="B24" s="4" t="str">
        <f>IF('Mass Ion Calculations'!B25="","", 'Mass Ion Calculations'!B25)</f>
        <v/>
      </c>
      <c r="C24" s="3" t="str">
        <f>IF(OR($B24="",C$3=""),"",IF('Mass Ion Calculations'!$D$6="Yes",IF('Mass Ion Calculations'!$D$7="Yes",('Mass Ion Calculations'!$D$18+'AA Exact Masses'!$Q$3+'AA Exact Masses'!$Q$2-'Mass Ion Calculations'!$C$5-'Mass Ion Calculations'!$C25)/2-'Mass Ion Calculations'!$D$5,('Mass Ion Calculations'!$F$18+'AA Exact Masses'!$Q$3+'AA Exact Masses'!$Q$2-'Mass Ion Calculations'!$E$5-'Mass Ion Calculations'!$E25)/2-'Mass Ion Calculations'!$D$5),IF('Mass Ion Calculations'!$D$7="Yes", ('Mass Ion Calculations'!$D$15+'AA Exact Masses'!$Q$3+'AA Exact Masses'!$Q$2-'Mass Ion Calculations'!$C$5-'Mass Ion Calculations'!$C25)/2-'Mass Ion Calculations'!$D$5,('Mass Ion Calculations'!$F$15+'AA Exact Masses'!$Q$3+'AA Exact Masses'!$Q$2-'Mass Ion Calculations'!$E$5-'Mass Ion Calculations'!$E25)/2-'Mass Ion Calculations'!$D$5)))</f>
        <v/>
      </c>
      <c r="D24" s="3" t="str">
        <f>IF(OR($B24="",D$3=""),"",IF('Mass Ion Calculations'!$D$6="Yes",IF('Mass Ion Calculations'!$D$7="Yes",('Mass Ion Calculations'!$D$18+'AA Exact Masses'!$Q$3+'AA Exact Masses'!$Q$2-'Mass Ion Calculations'!$C$6-'Mass Ion Calculations'!$C25)/2-'Mass Ion Calculations'!$D$5,('Mass Ion Calculations'!$F$18+'AA Exact Masses'!$Q$3+'AA Exact Masses'!$Q$2-'Mass Ion Calculations'!$E$6-'Mass Ion Calculations'!$E25)/2-'Mass Ion Calculations'!$D$5),IF('Mass Ion Calculations'!$D$7="Yes", ('Mass Ion Calculations'!$D$15+'AA Exact Masses'!$Q$3+'AA Exact Masses'!$Q$2-'Mass Ion Calculations'!$C$6-'Mass Ion Calculations'!$C25)/2-'Mass Ion Calculations'!$D$5,('Mass Ion Calculations'!$F$15+'AA Exact Masses'!$Q$3+'AA Exact Masses'!$Q$2-'Mass Ion Calculations'!$E$6-'Mass Ion Calculations'!$E25)/2-'Mass Ion Calculations'!$D$5)))</f>
        <v/>
      </c>
      <c r="E24" s="3" t="str">
        <f>IF(OR($B24="",E$3=""),"",IF('Mass Ion Calculations'!$D$6="Yes",IF('Mass Ion Calculations'!$D$7="Yes",('Mass Ion Calculations'!$D$18+'AA Exact Masses'!$Q$3+'AA Exact Masses'!$Q$2-'Mass Ion Calculations'!$C$7-'Mass Ion Calculations'!$C25)/2-'Mass Ion Calculations'!$D$5,('Mass Ion Calculations'!$F$18+'AA Exact Masses'!$Q$3+'AA Exact Masses'!$Q$2-'Mass Ion Calculations'!$E$7-'Mass Ion Calculations'!$E25)/2-'Mass Ion Calculations'!$D$5),IF('Mass Ion Calculations'!$D$7="Yes", ('Mass Ion Calculations'!$D$15+'AA Exact Masses'!$Q$3+'AA Exact Masses'!$Q$2-'Mass Ion Calculations'!$C$7-'Mass Ion Calculations'!$C25)/2-'Mass Ion Calculations'!$D$5,('Mass Ion Calculations'!$F$15+'AA Exact Masses'!$Q$3+'AA Exact Masses'!$Q$2-'Mass Ion Calculations'!$E$7-'Mass Ion Calculations'!$E25)/2-'Mass Ion Calculations'!$D$5)))</f>
        <v/>
      </c>
      <c r="F24" s="3" t="str">
        <f>IF(OR($B24="",F$3=""),"",IF('Mass Ion Calculations'!$D$6="Yes",IF('Mass Ion Calculations'!$D$7="Yes",('Mass Ion Calculations'!$D$18+'AA Exact Masses'!$Q$3+'AA Exact Masses'!$Q$2-'Mass Ion Calculations'!$C$8-'Mass Ion Calculations'!$C25)/2-'Mass Ion Calculations'!$D$5,('Mass Ion Calculations'!$F$18+'AA Exact Masses'!$Q$3+'AA Exact Masses'!$Q$2-'Mass Ion Calculations'!$E$8-'Mass Ion Calculations'!$E25)/2-'Mass Ion Calculations'!$D$5),IF('Mass Ion Calculations'!$D$7="Yes", ('Mass Ion Calculations'!$D$15+'AA Exact Masses'!$Q$3+'AA Exact Masses'!$Q$2-'Mass Ion Calculations'!$C$8-'Mass Ion Calculations'!$C25)/2-'Mass Ion Calculations'!$D$5,('Mass Ion Calculations'!$F$15+'AA Exact Masses'!$Q$3+'AA Exact Masses'!$Q$2-'Mass Ion Calculations'!$E$8-'Mass Ion Calculations'!$E25)/2-'Mass Ion Calculations'!$D$5)))</f>
        <v/>
      </c>
      <c r="G24" s="3" t="str">
        <f>IF(OR($B24="",G$3=""),"",IF('Mass Ion Calculations'!$D$6="Yes",IF('Mass Ion Calculations'!$D$7="Yes",('Mass Ion Calculations'!$D$18+'AA Exact Masses'!$Q$3+'AA Exact Masses'!$Q$2-'Mass Ion Calculations'!$C$9-'Mass Ion Calculations'!$C25)/2-'Mass Ion Calculations'!$D$5,('Mass Ion Calculations'!$F$18+'AA Exact Masses'!$Q$3+'AA Exact Masses'!$Q$2-'Mass Ion Calculations'!$E$9-'Mass Ion Calculations'!$E25)/2-'Mass Ion Calculations'!$D$5),IF('Mass Ion Calculations'!$D$7="Yes", ('Mass Ion Calculations'!$D$15+'AA Exact Masses'!$Q$3+'AA Exact Masses'!$Q$2-'Mass Ion Calculations'!$C$9-'Mass Ion Calculations'!$C25)/2-'Mass Ion Calculations'!$D$5,('Mass Ion Calculations'!$F$15+'AA Exact Masses'!$Q$3+'AA Exact Masses'!$Q$2-'Mass Ion Calculations'!$E$9-'Mass Ion Calculations'!$E25)/2-'Mass Ion Calculations'!$D$5)))</f>
        <v/>
      </c>
      <c r="H24" s="3" t="str">
        <f>IF(OR($B24="",H$3=""),"",IF('Mass Ion Calculations'!$D$6="Yes",IF('Mass Ion Calculations'!$D$7="Yes",('Mass Ion Calculations'!$D$18+'AA Exact Masses'!$Q$3+'AA Exact Masses'!$Q$2-'Mass Ion Calculations'!$C$10-'Mass Ion Calculations'!$C25)/2-'Mass Ion Calculations'!$D$5,('Mass Ion Calculations'!$F$18+'AA Exact Masses'!$Q$3+'AA Exact Masses'!$Q$2-'Mass Ion Calculations'!$E$10-'Mass Ion Calculations'!$E25)/2-'Mass Ion Calculations'!$D$5),IF('Mass Ion Calculations'!$D$7="Yes", ('Mass Ion Calculations'!$D$15+'AA Exact Masses'!$Q$3+'AA Exact Masses'!$Q$2-'Mass Ion Calculations'!$C$10-'Mass Ion Calculations'!$C25)/2-'Mass Ion Calculations'!$D$5,('Mass Ion Calculations'!$F$15+'AA Exact Masses'!$Q$3+'AA Exact Masses'!$Q$2-'Mass Ion Calculations'!$E$10-'Mass Ion Calculations'!$E25)/2-'Mass Ion Calculations'!$D$5)))</f>
        <v/>
      </c>
      <c r="I24" s="3" t="str">
        <f>IF(OR($B24="",I$3=""),"",IF('Mass Ion Calculations'!$D$6="Yes",IF('Mass Ion Calculations'!$D$7="Yes",('Mass Ion Calculations'!$D$18+'AA Exact Masses'!$Q$3+'AA Exact Masses'!$Q$2-'Mass Ion Calculations'!$C$11-'Mass Ion Calculations'!$C25)/2-'Mass Ion Calculations'!$D$5,('Mass Ion Calculations'!$F$18+'AA Exact Masses'!$Q$3+'AA Exact Masses'!$Q$2-'Mass Ion Calculations'!$E$11-'Mass Ion Calculations'!$E25)/2-'Mass Ion Calculations'!$D$5),IF('Mass Ion Calculations'!$D$7="Yes", ('Mass Ion Calculations'!$D$15+'AA Exact Masses'!$Q$3+'AA Exact Masses'!$Q$2-'Mass Ion Calculations'!$C$11-'Mass Ion Calculations'!$C25)/2-'Mass Ion Calculations'!$D$5,('Mass Ion Calculations'!$F$15+'AA Exact Masses'!$Q$3+'AA Exact Masses'!$Q$2-'Mass Ion Calculations'!$E$11-'Mass Ion Calculations'!$E25)/2-'Mass Ion Calculations'!$D$5)))</f>
        <v/>
      </c>
      <c r="J24" s="3" t="str">
        <f>IF(OR($B24="",J$3=""),"",IF('Mass Ion Calculations'!$D$6="Yes",IF('Mass Ion Calculations'!$D$7="Yes",('Mass Ion Calculations'!$D$18+'AA Exact Masses'!$Q$3+'AA Exact Masses'!$Q$2-'Mass Ion Calculations'!$C$12-'Mass Ion Calculations'!$C25)/2-'Mass Ion Calculations'!$D$5,('Mass Ion Calculations'!$F$18+'AA Exact Masses'!$Q$3+'AA Exact Masses'!$Q$2-'Mass Ion Calculations'!$E$12-'Mass Ion Calculations'!$E25)/2-'Mass Ion Calculations'!$D$5),IF('Mass Ion Calculations'!$D$7="Yes", ('Mass Ion Calculations'!$D$15+'AA Exact Masses'!$Q$3+'AA Exact Masses'!$Q$2-'Mass Ion Calculations'!$C$12-'Mass Ion Calculations'!$C25)/2-'Mass Ion Calculations'!$D$5,('Mass Ion Calculations'!$F$15+'AA Exact Masses'!$Q$3+'AA Exact Masses'!$Q$2-'Mass Ion Calculations'!$E$12-'Mass Ion Calculations'!$E25)/2-'Mass Ion Calculations'!$D$5)))</f>
        <v/>
      </c>
      <c r="K24" s="3" t="str">
        <f>IF(OR($B24="",K$3=""),"",IF('Mass Ion Calculations'!$D$6="Yes",IF('Mass Ion Calculations'!$D$7="Yes",('Mass Ion Calculations'!$D$18+'AA Exact Masses'!$Q$3+'AA Exact Masses'!$Q$2-'Mass Ion Calculations'!$C$13-'Mass Ion Calculations'!$C25)/2-'Mass Ion Calculations'!$D$5,('Mass Ion Calculations'!$F$18+'AA Exact Masses'!$Q$3+'AA Exact Masses'!$Q$2-'Mass Ion Calculations'!$E$14-'Mass Ion Calculations'!$E25)/2-'Mass Ion Calculations'!$D$5),IF('Mass Ion Calculations'!$D$7="Yes", ('Mass Ion Calculations'!$D$15+'AA Exact Masses'!$Q$3+'AA Exact Masses'!$Q$2-'Mass Ion Calculations'!$C$13-'Mass Ion Calculations'!$C25)/2-'Mass Ion Calculations'!$D$5,('Mass Ion Calculations'!$F$15+'AA Exact Masses'!$Q$3+'AA Exact Masses'!$Q$2-'Mass Ion Calculations'!$E$14-'Mass Ion Calculations'!$E25)/2-'Mass Ion Calculations'!$D$5)))</f>
        <v/>
      </c>
      <c r="L24" s="3" t="str">
        <f>IF(OR($B24="",L$3=""),"",IF('Mass Ion Calculations'!$D$6="Yes",IF('Mass Ion Calculations'!$D$7="Yes",('Mass Ion Calculations'!$D$18+'AA Exact Masses'!$Q$3+'AA Exact Masses'!$Q$2-'Mass Ion Calculations'!$C$14-'Mass Ion Calculations'!$C25)/2-'Mass Ion Calculations'!$D$5,('Mass Ion Calculations'!$F$18+'AA Exact Masses'!$Q$3+'AA Exact Masses'!$Q$2-'Mass Ion Calculations'!$E$15-'Mass Ion Calculations'!$E25)/2-'Mass Ion Calculations'!$D$5),IF('Mass Ion Calculations'!$D$7="Yes", ('Mass Ion Calculations'!$D$15+'AA Exact Masses'!$Q$3+'AA Exact Masses'!$Q$2-'Mass Ion Calculations'!$C$14-'Mass Ion Calculations'!$C25)/2-'Mass Ion Calculations'!$D$5,('Mass Ion Calculations'!$F$15+'AA Exact Masses'!$Q$3+'AA Exact Masses'!$Q$2-'Mass Ion Calculations'!$E$15-'Mass Ion Calculations'!$E25)/2-'Mass Ion Calculations'!$D$5)))</f>
        <v/>
      </c>
      <c r="M24" s="3" t="str">
        <f>IF(OR($B24="",M$3=""),"",IF('Mass Ion Calculations'!$D$6="Yes",IF('Mass Ion Calculations'!$D$7="Yes",('Mass Ion Calculations'!$D$18+'AA Exact Masses'!$Q$3+'AA Exact Masses'!$Q$2-'Mass Ion Calculations'!$C$15-'Mass Ion Calculations'!$C25)/2-'Mass Ion Calculations'!$D$5,('Mass Ion Calculations'!$F$18+'AA Exact Masses'!$Q$3+'AA Exact Masses'!$Q$2-'Mass Ion Calculations'!$E$16-'Mass Ion Calculations'!$E25)/2-'Mass Ion Calculations'!$D$5),IF('Mass Ion Calculations'!$D$7="Yes", ('Mass Ion Calculations'!$D$15+'AA Exact Masses'!$Q$3+'AA Exact Masses'!$Q$2-'Mass Ion Calculations'!$C$15-'Mass Ion Calculations'!$C25)/2-'Mass Ion Calculations'!$D$5,('Mass Ion Calculations'!$F$15+'AA Exact Masses'!$Q$3+'AA Exact Masses'!$Q$2-'Mass Ion Calculations'!$E$16-'Mass Ion Calculations'!$E25)/2-'Mass Ion Calculations'!$D$5)))</f>
        <v/>
      </c>
      <c r="N24" s="3" t="str">
        <f>IF(OR($B24="",N$3=""),"",IF('Mass Ion Calculations'!$D$6="Yes",IF('Mass Ion Calculations'!$D$7="Yes",('Mass Ion Calculations'!$D$18+'AA Exact Masses'!$Q$3+'AA Exact Masses'!$Q$2-'Mass Ion Calculations'!$C$16-'Mass Ion Calculations'!$C25)/2-'Mass Ion Calculations'!$D$5,('Mass Ion Calculations'!$F$18+'AA Exact Masses'!$Q$3+'AA Exact Masses'!$Q$2-'Mass Ion Calculations'!$E$17-'Mass Ion Calculations'!$E25)/2-'Mass Ion Calculations'!$D$5),IF('Mass Ion Calculations'!$D$7="Yes", ('Mass Ion Calculations'!$D$15+'AA Exact Masses'!$Q$3+'AA Exact Masses'!$Q$2-'Mass Ion Calculations'!$C$16-'Mass Ion Calculations'!$C25)/2-'Mass Ion Calculations'!$D$5,('Mass Ion Calculations'!$F$15+'AA Exact Masses'!$Q$3+'AA Exact Masses'!$Q$2-'Mass Ion Calculations'!$E$17-'Mass Ion Calculations'!$E25)/2-'Mass Ion Calculations'!$D$5)))</f>
        <v/>
      </c>
      <c r="O24" s="3" t="str">
        <f>IF(OR($B24="",O$3=""),"",IF('Mass Ion Calculations'!$D$6="Yes",IF('Mass Ion Calculations'!$D$7="Yes",('Mass Ion Calculations'!$D$18+'AA Exact Masses'!$Q$3+'AA Exact Masses'!$Q$2-'Mass Ion Calculations'!$C$17-'Mass Ion Calculations'!$C25)/2-'Mass Ion Calculations'!$D$5,('Mass Ion Calculations'!$F$18+'AA Exact Masses'!$Q$3+'AA Exact Masses'!$Q$2-'Mass Ion Calculations'!$E$18-'Mass Ion Calculations'!$E25)/2-'Mass Ion Calculations'!$D$5),IF('Mass Ion Calculations'!$D$7="Yes", ('Mass Ion Calculations'!$D$15+'AA Exact Masses'!$Q$3+'AA Exact Masses'!$Q$2-'Mass Ion Calculations'!$C$17-'Mass Ion Calculations'!$C25)/2-'Mass Ion Calculations'!$D$5,('Mass Ion Calculations'!$F$15+'AA Exact Masses'!$Q$3+'AA Exact Masses'!$Q$2-'Mass Ion Calculations'!$E$18-'Mass Ion Calculations'!$E25)/2-'Mass Ion Calculations'!$D$5)))</f>
        <v/>
      </c>
      <c r="P24" s="3" t="str">
        <f>IF(OR($B24="",P$3=""),"",IF('Mass Ion Calculations'!$D$6="Yes",IF('Mass Ion Calculations'!$D$7="Yes",('Mass Ion Calculations'!$D$18+'AA Exact Masses'!$Q$3+'AA Exact Masses'!$Q$2-'Mass Ion Calculations'!$C$19-'Mass Ion Calculations'!$C25)/2-'Mass Ion Calculations'!$D$5,('Mass Ion Calculations'!$F$18+'AA Exact Masses'!$Q$3+'AA Exact Masses'!$Q$2-'Mass Ion Calculations'!$E$19-'Mass Ion Calculations'!$E25)/2-'Mass Ion Calculations'!$D$5),IF('Mass Ion Calculations'!$D$7="Yes", ('Mass Ion Calculations'!$D$15+'AA Exact Masses'!$Q$3+'AA Exact Masses'!$Q$2-'Mass Ion Calculations'!$C$19-'Mass Ion Calculations'!$C25)/2-'Mass Ion Calculations'!$D$5,('Mass Ion Calculations'!$F$15+'AA Exact Masses'!$Q$3+'AA Exact Masses'!$Q$2-'Mass Ion Calculations'!$E$19-'Mass Ion Calculations'!$E25)/2-'Mass Ion Calculations'!$D$5)))</f>
        <v/>
      </c>
      <c r="Q24" s="3" t="str">
        <f>IF(OR($B24="",Q$3=""),"",IF('Mass Ion Calculations'!$D$6="Yes",IF('Mass Ion Calculations'!$D$7="Yes",('Mass Ion Calculations'!$D$18+'AA Exact Masses'!$Q$3+'AA Exact Masses'!$Q$2-'Mass Ion Calculations'!$C$20-'Mass Ion Calculations'!$C25)/2-'Mass Ion Calculations'!$D$5,('Mass Ion Calculations'!$F$18+'AA Exact Masses'!$Q$3+'AA Exact Masses'!$Q$2-'Mass Ion Calculations'!$E$20-'Mass Ion Calculations'!$E25)/2-'Mass Ion Calculations'!$D$5),IF('Mass Ion Calculations'!$D$7="Yes", ('Mass Ion Calculations'!$D$15+'AA Exact Masses'!$Q$3+'AA Exact Masses'!$Q$2-'Mass Ion Calculations'!$C$20-'Mass Ion Calculations'!$C25)/2-'Mass Ion Calculations'!$D$5,('Mass Ion Calculations'!$F$15+'AA Exact Masses'!$Q$3+'AA Exact Masses'!$Q$2-'Mass Ion Calculations'!$E$20-'Mass Ion Calculations'!$E25)/2-'Mass Ion Calculations'!$D$5)))</f>
        <v/>
      </c>
      <c r="R24" s="3" t="str">
        <f>IF(OR($B24="",R$3=""),"",IF('Mass Ion Calculations'!$D$6="Yes",IF('Mass Ion Calculations'!$D$7="Yes",('Mass Ion Calculations'!$D$18+'AA Exact Masses'!$Q$3+'AA Exact Masses'!$Q$2-'Mass Ion Calculations'!$C$21-'Mass Ion Calculations'!$C25)/2-'Mass Ion Calculations'!$D$5,('Mass Ion Calculations'!$F$18+'AA Exact Masses'!$Q$3+'AA Exact Masses'!$Q$2-'Mass Ion Calculations'!$E$21-'Mass Ion Calculations'!$E25)/2-'Mass Ion Calculations'!$D$5),IF('Mass Ion Calculations'!$D$7="Yes", ('Mass Ion Calculations'!$D$15+'AA Exact Masses'!$Q$3+'AA Exact Masses'!$Q$2-'Mass Ion Calculations'!$C$21-'Mass Ion Calculations'!$C25)/2-'Mass Ion Calculations'!$D$5,('Mass Ion Calculations'!$F$15+'AA Exact Masses'!$Q$3+'AA Exact Masses'!$Q$2-'Mass Ion Calculations'!$E$21-'Mass Ion Calculations'!$E25)/2-'Mass Ion Calculations'!$D$5)))</f>
        <v/>
      </c>
      <c r="S24" s="3" t="str">
        <f>IF(OR($B24="",S$3=""),"",IF('Mass Ion Calculations'!$D$6="Yes",IF('Mass Ion Calculations'!$D$7="Yes",('Mass Ion Calculations'!$D$18+'AA Exact Masses'!$Q$3+'AA Exact Masses'!$Q$2-'Mass Ion Calculations'!$C$22-'Mass Ion Calculations'!$C25)/2-'Mass Ion Calculations'!$D$5,('Mass Ion Calculations'!$F$18+'AA Exact Masses'!$Q$3+'AA Exact Masses'!$Q$2-'Mass Ion Calculations'!$E$22-'Mass Ion Calculations'!$E25)/2-'Mass Ion Calculations'!$D$5),IF('Mass Ion Calculations'!$D$7="Yes", ('Mass Ion Calculations'!$D$15+'AA Exact Masses'!$Q$3+'AA Exact Masses'!$Q$2-'Mass Ion Calculations'!$C$22-'Mass Ion Calculations'!$C25)/2-'Mass Ion Calculations'!$D$5,('Mass Ion Calculations'!$F$15+'AA Exact Masses'!$Q$3+'AA Exact Masses'!$Q$2-'Mass Ion Calculations'!$E$22-'Mass Ion Calculations'!$E25)/2-'Mass Ion Calculations'!$D$5)))</f>
        <v/>
      </c>
      <c r="T24" s="3" t="str">
        <f>IF(OR($B24="",T$3=""),"",IF('Mass Ion Calculations'!$D$6="Yes",IF('Mass Ion Calculations'!$D$7="Yes",('Mass Ion Calculations'!$D$18+'AA Exact Masses'!$Q$3+'AA Exact Masses'!$Q$2-'Mass Ion Calculations'!$C$22-'Mass Ion Calculations'!$C25)/2-'Mass Ion Calculations'!$D$5,('Mass Ion Calculations'!$F$18+'AA Exact Masses'!$Q$3+'AA Exact Masses'!$Q$2-'Mass Ion Calculations'!$E$22-'Mass Ion Calculations'!$E25)/2-'Mass Ion Calculations'!$D$5),IF('Mass Ion Calculations'!$D$7="Yes", ('Mass Ion Calculations'!$D$15+'AA Exact Masses'!$Q$3+'AA Exact Masses'!$Q$2-'Mass Ion Calculations'!$C$22-'Mass Ion Calculations'!$C25)/2-'Mass Ion Calculations'!$D$5,('Mass Ion Calculations'!$F$15+'AA Exact Masses'!$Q$3+'AA Exact Masses'!$Q$2-'Mass Ion Calculations'!$E$22-'Mass Ion Calculations'!$E25)/2-'Mass Ion Calculations'!$D$5)))</f>
        <v/>
      </c>
      <c r="U24" s="3" t="str">
        <f>IF(OR($B24="",U$3=""),"",IF('Mass Ion Calculations'!$D$6="Yes",IF('Mass Ion Calculations'!$D$7="Yes",('Mass Ion Calculations'!$D$18+'AA Exact Masses'!$Q$3+'AA Exact Masses'!$Q$2-'Mass Ion Calculations'!$C$23-'Mass Ion Calculations'!$C25)/2-'Mass Ion Calculations'!$D$5,('Mass Ion Calculations'!$F$18+'AA Exact Masses'!$Q$3+'AA Exact Masses'!$Q$2-'Mass Ion Calculations'!$E$23-'Mass Ion Calculations'!$E25)/2-'Mass Ion Calculations'!$D$5),IF('Mass Ion Calculations'!$D$7="Yes", ('Mass Ion Calculations'!$D$15+'AA Exact Masses'!$Q$3+'AA Exact Masses'!$Q$2-'Mass Ion Calculations'!$C$23-'Mass Ion Calculations'!$C25)/2-'Mass Ion Calculations'!$D$5,('Mass Ion Calculations'!$F$15+'AA Exact Masses'!$Q$3+'AA Exact Masses'!$Q$2-'Mass Ion Calculations'!$E$23-'Mass Ion Calculations'!$E25)/2-'Mass Ion Calculations'!$D$5)))</f>
        <v/>
      </c>
      <c r="V24" s="3" t="str">
        <f>IF(OR($B24="",V$3=""),"",IF('Mass Ion Calculations'!$D$6="Yes",IF('Mass Ion Calculations'!$D$7="Yes",('Mass Ion Calculations'!$D$18+'AA Exact Masses'!$Q$3+'AA Exact Masses'!$Q$2-'Mass Ion Calculations'!$C$24-'Mass Ion Calculations'!$C25)/2-'Mass Ion Calculations'!$D$5,('Mass Ion Calculations'!$F$18+'AA Exact Masses'!$Q$3+'AA Exact Masses'!$Q$2-'Mass Ion Calculations'!$E$24-'Mass Ion Calculations'!$E25)/2-'Mass Ion Calculations'!$D$5),IF('Mass Ion Calculations'!$D$7="Yes", ('Mass Ion Calculations'!$D$15+'AA Exact Masses'!$Q$3+'AA Exact Masses'!$Q$2-'Mass Ion Calculations'!$C$24-'Mass Ion Calculations'!$C25)/2-'Mass Ion Calculations'!$D$5,('Mass Ion Calculations'!$F$15+'AA Exact Masses'!$Q$3+'AA Exact Masses'!$Q$2-'Mass Ion Calculations'!$E$24-'Mass Ion Calculations'!$E25)/2-'Mass Ion Calculations'!$D$5)))</f>
        <v/>
      </c>
      <c r="W24" s="3" t="str">
        <f>IF(OR($B24="",W$3=""),"",IF('Mass Ion Calculations'!$D$6="Yes",IF('Mass Ion Calculations'!$D$7="Yes",('Mass Ion Calculations'!$D$18+'AA Exact Masses'!$Q$3+'AA Exact Masses'!$Q$2-'Mass Ion Calculations'!$C$25-'Mass Ion Calculations'!$C25)/2-'Mass Ion Calculations'!$D$5,('Mass Ion Calculations'!$F$18+'AA Exact Masses'!$Q$3+'AA Exact Masses'!$Q$2-'Mass Ion Calculations'!$E$25-'Mass Ion Calculations'!$E25)/2-'Mass Ion Calculations'!$D$5),IF('Mass Ion Calculations'!$D$7="Yes", ('Mass Ion Calculations'!$D$15+'AA Exact Masses'!$Q$3+'AA Exact Masses'!$Q$2-'Mass Ion Calculations'!$C$25-'Mass Ion Calculations'!$C25)/2-'Mass Ion Calculations'!$D$5,('Mass Ion Calculations'!$F$15+'AA Exact Masses'!$Q$3+'AA Exact Masses'!$Q$2-'Mass Ion Calculations'!$E$25-'Mass Ion Calculations'!$E25)/2-'Mass Ion Calculations'!$D$5)))</f>
        <v/>
      </c>
      <c r="X24" s="3" t="str">
        <f>IF(OR($B24="",X$3=""),"",IF('Mass Ion Calculations'!$D$6="Yes",IF('Mass Ion Calculations'!$D$7="Yes",('Mass Ion Calculations'!$D$18+'AA Exact Masses'!$Q$3+'AA Exact Masses'!$Q$2-'Mass Ion Calculations'!$C$26-'Mass Ion Calculations'!$C25)/2-'Mass Ion Calculations'!$D$5,('Mass Ion Calculations'!$F$18+'AA Exact Masses'!$Q$3+'AA Exact Masses'!$Q$2-'Mass Ion Calculations'!$E$26-'Mass Ion Calculations'!$E25)/2-'Mass Ion Calculations'!$D$5),IF('Mass Ion Calculations'!$D$7="Yes", ('Mass Ion Calculations'!$D$15+'AA Exact Masses'!$Q$3+'AA Exact Masses'!$Q$2-'Mass Ion Calculations'!$C$26-'Mass Ion Calculations'!$C25)/2-'Mass Ion Calculations'!$D$5,('Mass Ion Calculations'!$F$15+'AA Exact Masses'!$Q$3+'AA Exact Masses'!$Q$2-'Mass Ion Calculations'!$E$26-'Mass Ion Calculations'!$E25)/2-'Mass Ion Calculations'!$D$5)))</f>
        <v/>
      </c>
      <c r="Y24" s="3" t="str">
        <f>IF(OR($B24="",Y$3=""),"",IF('Mass Ion Calculations'!$D$6="Yes",IF('Mass Ion Calculations'!$D$7="Yes",('Mass Ion Calculations'!$D$18+'AA Exact Masses'!$Q$3+'AA Exact Masses'!$Q$2-'Mass Ion Calculations'!$C$27-'Mass Ion Calculations'!$C25)/2-'Mass Ion Calculations'!$D$5,('Mass Ion Calculations'!$F$18+'AA Exact Masses'!$Q$3+'AA Exact Masses'!$Q$2-'Mass Ion Calculations'!$E$27-'Mass Ion Calculations'!$E25)/2-'Mass Ion Calculations'!$D$5),IF('Mass Ion Calculations'!$D$7="Yes", ('Mass Ion Calculations'!$D$15+'AA Exact Masses'!$Q$3+'AA Exact Masses'!$Q$2-'Mass Ion Calculations'!$C$27-'Mass Ion Calculations'!$C25)/2-'Mass Ion Calculations'!$D$5,('Mass Ion Calculations'!$F$15+'AA Exact Masses'!$Q$3+'AA Exact Masses'!$Q$2-'Mass Ion Calculations'!$E$27-'Mass Ion Calculations'!$E25)/2-'Mass Ion Calculations'!$D$5)))</f>
        <v/>
      </c>
      <c r="Z24" s="3" t="str">
        <f>IF(OR($B24="",Z$3=""),"",IF('Mass Ion Calculations'!$D$6="Yes",IF('Mass Ion Calculations'!$D$7="Yes",('Mass Ion Calculations'!$D$18+'AA Exact Masses'!$Q$3+'AA Exact Masses'!$Q$2-'Mass Ion Calculations'!$C$28-'Mass Ion Calculations'!$C25)/2-'Mass Ion Calculations'!$D$5,('Mass Ion Calculations'!$F$18+'AA Exact Masses'!$Q$3+'AA Exact Masses'!$Q$2-'Mass Ion Calculations'!$E$28-'Mass Ion Calculations'!$E25)/2-'Mass Ion Calculations'!$D$5),IF('Mass Ion Calculations'!$D$7="Yes", ('Mass Ion Calculations'!$D$15+'AA Exact Masses'!$Q$3+'AA Exact Masses'!$Q$2-'Mass Ion Calculations'!$C$28-'Mass Ion Calculations'!$C25)/2-'Mass Ion Calculations'!$D$5,('Mass Ion Calculations'!$F$15+'AA Exact Masses'!$Q$3+'AA Exact Masses'!$Q$2-'Mass Ion Calculations'!$E$28-'Mass Ion Calculations'!$E25)/2-'Mass Ion Calculations'!$D$5)))</f>
        <v/>
      </c>
    </row>
    <row r="25" spans="2:26" x14ac:dyDescent="0.25">
      <c r="B25" s="4" t="str">
        <f>IF('Mass Ion Calculations'!B26="","", 'Mass Ion Calculations'!B26)</f>
        <v/>
      </c>
      <c r="C25" s="3" t="str">
        <f>IF(OR($B25="",C$3=""),"",IF('Mass Ion Calculations'!$D$6="Yes",IF('Mass Ion Calculations'!$D$7="Yes",('Mass Ion Calculations'!$D$18+'AA Exact Masses'!$Q$3+'AA Exact Masses'!$Q$2-'Mass Ion Calculations'!$C$5-'Mass Ion Calculations'!$C26)/2-'Mass Ion Calculations'!$D$5,('Mass Ion Calculations'!$F$18+'AA Exact Masses'!$Q$3+'AA Exact Masses'!$Q$2-'Mass Ion Calculations'!$E$5-'Mass Ion Calculations'!$E26)/2-'Mass Ion Calculations'!$D$5),IF('Mass Ion Calculations'!$D$7="Yes", ('Mass Ion Calculations'!$D$15+'AA Exact Masses'!$Q$3+'AA Exact Masses'!$Q$2-'Mass Ion Calculations'!$C$5-'Mass Ion Calculations'!$C26)/2-'Mass Ion Calculations'!$D$5,('Mass Ion Calculations'!$F$15+'AA Exact Masses'!$Q$3+'AA Exact Masses'!$Q$2-'Mass Ion Calculations'!$E$5-'Mass Ion Calculations'!$E26)/2-'Mass Ion Calculations'!$D$5)))</f>
        <v/>
      </c>
      <c r="D25" s="3" t="str">
        <f>IF(OR($B25="",D$3=""),"",IF('Mass Ion Calculations'!$D$6="Yes",IF('Mass Ion Calculations'!$D$7="Yes",('Mass Ion Calculations'!$D$18+'AA Exact Masses'!$Q$3+'AA Exact Masses'!$Q$2-'Mass Ion Calculations'!$C$6-'Mass Ion Calculations'!$C26)/2-'Mass Ion Calculations'!$D$5,('Mass Ion Calculations'!$F$18+'AA Exact Masses'!$Q$3+'AA Exact Masses'!$Q$2-'Mass Ion Calculations'!$E$6-'Mass Ion Calculations'!$E26)/2-'Mass Ion Calculations'!$D$5),IF('Mass Ion Calculations'!$D$7="Yes", ('Mass Ion Calculations'!$D$15+'AA Exact Masses'!$Q$3+'AA Exact Masses'!$Q$2-'Mass Ion Calculations'!$C$6-'Mass Ion Calculations'!$C26)/2-'Mass Ion Calculations'!$D$5,('Mass Ion Calculations'!$F$15+'AA Exact Masses'!$Q$3+'AA Exact Masses'!$Q$2-'Mass Ion Calculations'!$E$6-'Mass Ion Calculations'!$E26)/2-'Mass Ion Calculations'!$D$5)))</f>
        <v/>
      </c>
      <c r="E25" s="3" t="str">
        <f>IF(OR($B25="",E$3=""),"",IF('Mass Ion Calculations'!$D$6="Yes",IF('Mass Ion Calculations'!$D$7="Yes",('Mass Ion Calculations'!$D$18+'AA Exact Masses'!$Q$3+'AA Exact Masses'!$Q$2-'Mass Ion Calculations'!$C$7-'Mass Ion Calculations'!$C26)/2-'Mass Ion Calculations'!$D$5,('Mass Ion Calculations'!$F$18+'AA Exact Masses'!$Q$3+'AA Exact Masses'!$Q$2-'Mass Ion Calculations'!$E$7-'Mass Ion Calculations'!$E26)/2-'Mass Ion Calculations'!$D$5),IF('Mass Ion Calculations'!$D$7="Yes", ('Mass Ion Calculations'!$D$15+'AA Exact Masses'!$Q$3+'AA Exact Masses'!$Q$2-'Mass Ion Calculations'!$C$7-'Mass Ion Calculations'!$C26)/2-'Mass Ion Calculations'!$D$5,('Mass Ion Calculations'!$F$15+'AA Exact Masses'!$Q$3+'AA Exact Masses'!$Q$2-'Mass Ion Calculations'!$E$7-'Mass Ion Calculations'!$E26)/2-'Mass Ion Calculations'!$D$5)))</f>
        <v/>
      </c>
      <c r="F25" s="3" t="str">
        <f>IF(OR($B25="",F$3=""),"",IF('Mass Ion Calculations'!$D$6="Yes",IF('Mass Ion Calculations'!$D$7="Yes",('Mass Ion Calculations'!$D$18+'AA Exact Masses'!$Q$3+'AA Exact Masses'!$Q$2-'Mass Ion Calculations'!$C$8-'Mass Ion Calculations'!$C26)/2-'Mass Ion Calculations'!$D$5,('Mass Ion Calculations'!$F$18+'AA Exact Masses'!$Q$3+'AA Exact Masses'!$Q$2-'Mass Ion Calculations'!$E$8-'Mass Ion Calculations'!$E26)/2-'Mass Ion Calculations'!$D$5),IF('Mass Ion Calculations'!$D$7="Yes", ('Mass Ion Calculations'!$D$15+'AA Exact Masses'!$Q$3+'AA Exact Masses'!$Q$2-'Mass Ion Calculations'!$C$8-'Mass Ion Calculations'!$C26)/2-'Mass Ion Calculations'!$D$5,('Mass Ion Calculations'!$F$15+'AA Exact Masses'!$Q$3+'AA Exact Masses'!$Q$2-'Mass Ion Calculations'!$E$8-'Mass Ion Calculations'!$E26)/2-'Mass Ion Calculations'!$D$5)))</f>
        <v/>
      </c>
      <c r="G25" s="3" t="str">
        <f>IF(OR($B25="",G$3=""),"",IF('Mass Ion Calculations'!$D$6="Yes",IF('Mass Ion Calculations'!$D$7="Yes",('Mass Ion Calculations'!$D$18+'AA Exact Masses'!$Q$3+'AA Exact Masses'!$Q$2-'Mass Ion Calculations'!$C$9-'Mass Ion Calculations'!$C26)/2-'Mass Ion Calculations'!$D$5,('Mass Ion Calculations'!$F$18+'AA Exact Masses'!$Q$3+'AA Exact Masses'!$Q$2-'Mass Ion Calculations'!$E$9-'Mass Ion Calculations'!$E26)/2-'Mass Ion Calculations'!$D$5),IF('Mass Ion Calculations'!$D$7="Yes", ('Mass Ion Calculations'!$D$15+'AA Exact Masses'!$Q$3+'AA Exact Masses'!$Q$2-'Mass Ion Calculations'!$C$9-'Mass Ion Calculations'!$C26)/2-'Mass Ion Calculations'!$D$5,('Mass Ion Calculations'!$F$15+'AA Exact Masses'!$Q$3+'AA Exact Masses'!$Q$2-'Mass Ion Calculations'!$E$9-'Mass Ion Calculations'!$E26)/2-'Mass Ion Calculations'!$D$5)))</f>
        <v/>
      </c>
      <c r="H25" s="3" t="str">
        <f>IF(OR($B25="",H$3=""),"",IF('Mass Ion Calculations'!$D$6="Yes",IF('Mass Ion Calculations'!$D$7="Yes",('Mass Ion Calculations'!$D$18+'AA Exact Masses'!$Q$3+'AA Exact Masses'!$Q$2-'Mass Ion Calculations'!$C$10-'Mass Ion Calculations'!$C26)/2-'Mass Ion Calculations'!$D$5,('Mass Ion Calculations'!$F$18+'AA Exact Masses'!$Q$3+'AA Exact Masses'!$Q$2-'Mass Ion Calculations'!$E$10-'Mass Ion Calculations'!$E26)/2-'Mass Ion Calculations'!$D$5),IF('Mass Ion Calculations'!$D$7="Yes", ('Mass Ion Calculations'!$D$15+'AA Exact Masses'!$Q$3+'AA Exact Masses'!$Q$2-'Mass Ion Calculations'!$C$10-'Mass Ion Calculations'!$C26)/2-'Mass Ion Calculations'!$D$5,('Mass Ion Calculations'!$F$15+'AA Exact Masses'!$Q$3+'AA Exact Masses'!$Q$2-'Mass Ion Calculations'!$E$10-'Mass Ion Calculations'!$E26)/2-'Mass Ion Calculations'!$D$5)))</f>
        <v/>
      </c>
      <c r="I25" s="3" t="str">
        <f>IF(OR($B25="",I$3=""),"",IF('Mass Ion Calculations'!$D$6="Yes",IF('Mass Ion Calculations'!$D$7="Yes",('Mass Ion Calculations'!$D$18+'AA Exact Masses'!$Q$3+'AA Exact Masses'!$Q$2-'Mass Ion Calculations'!$C$11-'Mass Ion Calculations'!$C26)/2-'Mass Ion Calculations'!$D$5,('Mass Ion Calculations'!$F$18+'AA Exact Masses'!$Q$3+'AA Exact Masses'!$Q$2-'Mass Ion Calculations'!$E$11-'Mass Ion Calculations'!$E26)/2-'Mass Ion Calculations'!$D$5),IF('Mass Ion Calculations'!$D$7="Yes", ('Mass Ion Calculations'!$D$15+'AA Exact Masses'!$Q$3+'AA Exact Masses'!$Q$2-'Mass Ion Calculations'!$C$11-'Mass Ion Calculations'!$C26)/2-'Mass Ion Calculations'!$D$5,('Mass Ion Calculations'!$F$15+'AA Exact Masses'!$Q$3+'AA Exact Masses'!$Q$2-'Mass Ion Calculations'!$E$11-'Mass Ion Calculations'!$E26)/2-'Mass Ion Calculations'!$D$5)))</f>
        <v/>
      </c>
      <c r="J25" s="3" t="str">
        <f>IF(OR($B25="",J$3=""),"",IF('Mass Ion Calculations'!$D$6="Yes",IF('Mass Ion Calculations'!$D$7="Yes",('Mass Ion Calculations'!$D$18+'AA Exact Masses'!$Q$3+'AA Exact Masses'!$Q$2-'Mass Ion Calculations'!$C$12-'Mass Ion Calculations'!$C26)/2-'Mass Ion Calculations'!$D$5,('Mass Ion Calculations'!$F$18+'AA Exact Masses'!$Q$3+'AA Exact Masses'!$Q$2-'Mass Ion Calculations'!$E$12-'Mass Ion Calculations'!$E26)/2-'Mass Ion Calculations'!$D$5),IF('Mass Ion Calculations'!$D$7="Yes", ('Mass Ion Calculations'!$D$15+'AA Exact Masses'!$Q$3+'AA Exact Masses'!$Q$2-'Mass Ion Calculations'!$C$12-'Mass Ion Calculations'!$C26)/2-'Mass Ion Calculations'!$D$5,('Mass Ion Calculations'!$F$15+'AA Exact Masses'!$Q$3+'AA Exact Masses'!$Q$2-'Mass Ion Calculations'!$E$12-'Mass Ion Calculations'!$E26)/2-'Mass Ion Calculations'!$D$5)))</f>
        <v/>
      </c>
      <c r="K25" s="3" t="str">
        <f>IF(OR($B25="",K$3=""),"",IF('Mass Ion Calculations'!$D$6="Yes",IF('Mass Ion Calculations'!$D$7="Yes",('Mass Ion Calculations'!$D$18+'AA Exact Masses'!$Q$3+'AA Exact Masses'!$Q$2-'Mass Ion Calculations'!$C$13-'Mass Ion Calculations'!$C26)/2-'Mass Ion Calculations'!$D$5,('Mass Ion Calculations'!$F$18+'AA Exact Masses'!$Q$3+'AA Exact Masses'!$Q$2-'Mass Ion Calculations'!$E$14-'Mass Ion Calculations'!$E26)/2-'Mass Ion Calculations'!$D$5),IF('Mass Ion Calculations'!$D$7="Yes", ('Mass Ion Calculations'!$D$15+'AA Exact Masses'!$Q$3+'AA Exact Masses'!$Q$2-'Mass Ion Calculations'!$C$13-'Mass Ion Calculations'!$C26)/2-'Mass Ion Calculations'!$D$5,('Mass Ion Calculations'!$F$15+'AA Exact Masses'!$Q$3+'AA Exact Masses'!$Q$2-'Mass Ion Calculations'!$E$14-'Mass Ion Calculations'!$E26)/2-'Mass Ion Calculations'!$D$5)))</f>
        <v/>
      </c>
      <c r="L25" s="3" t="str">
        <f>IF(OR($B25="",L$3=""),"",IF('Mass Ion Calculations'!$D$6="Yes",IF('Mass Ion Calculations'!$D$7="Yes",('Mass Ion Calculations'!$D$18+'AA Exact Masses'!$Q$3+'AA Exact Masses'!$Q$2-'Mass Ion Calculations'!$C$14-'Mass Ion Calculations'!$C26)/2-'Mass Ion Calculations'!$D$5,('Mass Ion Calculations'!$F$18+'AA Exact Masses'!$Q$3+'AA Exact Masses'!$Q$2-'Mass Ion Calculations'!$E$15-'Mass Ion Calculations'!$E26)/2-'Mass Ion Calculations'!$D$5),IF('Mass Ion Calculations'!$D$7="Yes", ('Mass Ion Calculations'!$D$15+'AA Exact Masses'!$Q$3+'AA Exact Masses'!$Q$2-'Mass Ion Calculations'!$C$14-'Mass Ion Calculations'!$C26)/2-'Mass Ion Calculations'!$D$5,('Mass Ion Calculations'!$F$15+'AA Exact Masses'!$Q$3+'AA Exact Masses'!$Q$2-'Mass Ion Calculations'!$E$15-'Mass Ion Calculations'!$E26)/2-'Mass Ion Calculations'!$D$5)))</f>
        <v/>
      </c>
      <c r="M25" s="3" t="str">
        <f>IF(OR($B25="",M$3=""),"",IF('Mass Ion Calculations'!$D$6="Yes",IF('Mass Ion Calculations'!$D$7="Yes",('Mass Ion Calculations'!$D$18+'AA Exact Masses'!$Q$3+'AA Exact Masses'!$Q$2-'Mass Ion Calculations'!$C$15-'Mass Ion Calculations'!$C26)/2-'Mass Ion Calculations'!$D$5,('Mass Ion Calculations'!$F$18+'AA Exact Masses'!$Q$3+'AA Exact Masses'!$Q$2-'Mass Ion Calculations'!$E$16-'Mass Ion Calculations'!$E26)/2-'Mass Ion Calculations'!$D$5),IF('Mass Ion Calculations'!$D$7="Yes", ('Mass Ion Calculations'!$D$15+'AA Exact Masses'!$Q$3+'AA Exact Masses'!$Q$2-'Mass Ion Calculations'!$C$15-'Mass Ion Calculations'!$C26)/2-'Mass Ion Calculations'!$D$5,('Mass Ion Calculations'!$F$15+'AA Exact Masses'!$Q$3+'AA Exact Masses'!$Q$2-'Mass Ion Calculations'!$E$16-'Mass Ion Calculations'!$E26)/2-'Mass Ion Calculations'!$D$5)))</f>
        <v/>
      </c>
      <c r="N25" s="3" t="str">
        <f>IF(OR($B25="",N$3=""),"",IF('Mass Ion Calculations'!$D$6="Yes",IF('Mass Ion Calculations'!$D$7="Yes",('Mass Ion Calculations'!$D$18+'AA Exact Masses'!$Q$3+'AA Exact Masses'!$Q$2-'Mass Ion Calculations'!$C$16-'Mass Ion Calculations'!$C26)/2-'Mass Ion Calculations'!$D$5,('Mass Ion Calculations'!$F$18+'AA Exact Masses'!$Q$3+'AA Exact Masses'!$Q$2-'Mass Ion Calculations'!$E$17-'Mass Ion Calculations'!$E26)/2-'Mass Ion Calculations'!$D$5),IF('Mass Ion Calculations'!$D$7="Yes", ('Mass Ion Calculations'!$D$15+'AA Exact Masses'!$Q$3+'AA Exact Masses'!$Q$2-'Mass Ion Calculations'!$C$16-'Mass Ion Calculations'!$C26)/2-'Mass Ion Calculations'!$D$5,('Mass Ion Calculations'!$F$15+'AA Exact Masses'!$Q$3+'AA Exact Masses'!$Q$2-'Mass Ion Calculations'!$E$17-'Mass Ion Calculations'!$E26)/2-'Mass Ion Calculations'!$D$5)))</f>
        <v/>
      </c>
      <c r="O25" s="3" t="str">
        <f>IF(OR($B25="",O$3=""),"",IF('Mass Ion Calculations'!$D$6="Yes",IF('Mass Ion Calculations'!$D$7="Yes",('Mass Ion Calculations'!$D$18+'AA Exact Masses'!$Q$3+'AA Exact Masses'!$Q$2-'Mass Ion Calculations'!$C$17-'Mass Ion Calculations'!$C26)/2-'Mass Ion Calculations'!$D$5,('Mass Ion Calculations'!$F$18+'AA Exact Masses'!$Q$3+'AA Exact Masses'!$Q$2-'Mass Ion Calculations'!$E$18-'Mass Ion Calculations'!$E26)/2-'Mass Ion Calculations'!$D$5),IF('Mass Ion Calculations'!$D$7="Yes", ('Mass Ion Calculations'!$D$15+'AA Exact Masses'!$Q$3+'AA Exact Masses'!$Q$2-'Mass Ion Calculations'!$C$17-'Mass Ion Calculations'!$C26)/2-'Mass Ion Calculations'!$D$5,('Mass Ion Calculations'!$F$15+'AA Exact Masses'!$Q$3+'AA Exact Masses'!$Q$2-'Mass Ion Calculations'!$E$18-'Mass Ion Calculations'!$E26)/2-'Mass Ion Calculations'!$D$5)))</f>
        <v/>
      </c>
      <c r="P25" s="3" t="str">
        <f>IF(OR($B25="",P$3=""),"",IF('Mass Ion Calculations'!$D$6="Yes",IF('Mass Ion Calculations'!$D$7="Yes",('Mass Ion Calculations'!$D$18+'AA Exact Masses'!$Q$3+'AA Exact Masses'!$Q$2-'Mass Ion Calculations'!$C$19-'Mass Ion Calculations'!$C26)/2-'Mass Ion Calculations'!$D$5,('Mass Ion Calculations'!$F$18+'AA Exact Masses'!$Q$3+'AA Exact Masses'!$Q$2-'Mass Ion Calculations'!$E$19-'Mass Ion Calculations'!$E26)/2-'Mass Ion Calculations'!$D$5),IF('Mass Ion Calculations'!$D$7="Yes", ('Mass Ion Calculations'!$D$15+'AA Exact Masses'!$Q$3+'AA Exact Masses'!$Q$2-'Mass Ion Calculations'!$C$19-'Mass Ion Calculations'!$C26)/2-'Mass Ion Calculations'!$D$5,('Mass Ion Calculations'!$F$15+'AA Exact Masses'!$Q$3+'AA Exact Masses'!$Q$2-'Mass Ion Calculations'!$E$19-'Mass Ion Calculations'!$E26)/2-'Mass Ion Calculations'!$D$5)))</f>
        <v/>
      </c>
      <c r="Q25" s="3" t="str">
        <f>IF(OR($B25="",Q$3=""),"",IF('Mass Ion Calculations'!$D$6="Yes",IF('Mass Ion Calculations'!$D$7="Yes",('Mass Ion Calculations'!$D$18+'AA Exact Masses'!$Q$3+'AA Exact Masses'!$Q$2-'Mass Ion Calculations'!$C$20-'Mass Ion Calculations'!$C26)/2-'Mass Ion Calculations'!$D$5,('Mass Ion Calculations'!$F$18+'AA Exact Masses'!$Q$3+'AA Exact Masses'!$Q$2-'Mass Ion Calculations'!$E$20-'Mass Ion Calculations'!$E26)/2-'Mass Ion Calculations'!$D$5),IF('Mass Ion Calculations'!$D$7="Yes", ('Mass Ion Calculations'!$D$15+'AA Exact Masses'!$Q$3+'AA Exact Masses'!$Q$2-'Mass Ion Calculations'!$C$20-'Mass Ion Calculations'!$C26)/2-'Mass Ion Calculations'!$D$5,('Mass Ion Calculations'!$F$15+'AA Exact Masses'!$Q$3+'AA Exact Masses'!$Q$2-'Mass Ion Calculations'!$E$20-'Mass Ion Calculations'!$E26)/2-'Mass Ion Calculations'!$D$5)))</f>
        <v/>
      </c>
      <c r="R25" s="3" t="str">
        <f>IF(OR($B25="",R$3=""),"",IF('Mass Ion Calculations'!$D$6="Yes",IF('Mass Ion Calculations'!$D$7="Yes",('Mass Ion Calculations'!$D$18+'AA Exact Masses'!$Q$3+'AA Exact Masses'!$Q$2-'Mass Ion Calculations'!$C$21-'Mass Ion Calculations'!$C26)/2-'Mass Ion Calculations'!$D$5,('Mass Ion Calculations'!$F$18+'AA Exact Masses'!$Q$3+'AA Exact Masses'!$Q$2-'Mass Ion Calculations'!$E$21-'Mass Ion Calculations'!$E26)/2-'Mass Ion Calculations'!$D$5),IF('Mass Ion Calculations'!$D$7="Yes", ('Mass Ion Calculations'!$D$15+'AA Exact Masses'!$Q$3+'AA Exact Masses'!$Q$2-'Mass Ion Calculations'!$C$21-'Mass Ion Calculations'!$C26)/2-'Mass Ion Calculations'!$D$5,('Mass Ion Calculations'!$F$15+'AA Exact Masses'!$Q$3+'AA Exact Masses'!$Q$2-'Mass Ion Calculations'!$E$21-'Mass Ion Calculations'!$E26)/2-'Mass Ion Calculations'!$D$5)))</f>
        <v/>
      </c>
      <c r="S25" s="3" t="str">
        <f>IF(OR($B25="",S$3=""),"",IF('Mass Ion Calculations'!$D$6="Yes",IF('Mass Ion Calculations'!$D$7="Yes",('Mass Ion Calculations'!$D$18+'AA Exact Masses'!$Q$3+'AA Exact Masses'!$Q$2-'Mass Ion Calculations'!$C$22-'Mass Ion Calculations'!$C26)/2-'Mass Ion Calculations'!$D$5,('Mass Ion Calculations'!$F$18+'AA Exact Masses'!$Q$3+'AA Exact Masses'!$Q$2-'Mass Ion Calculations'!$E$22-'Mass Ion Calculations'!$E26)/2-'Mass Ion Calculations'!$D$5),IF('Mass Ion Calculations'!$D$7="Yes", ('Mass Ion Calculations'!$D$15+'AA Exact Masses'!$Q$3+'AA Exact Masses'!$Q$2-'Mass Ion Calculations'!$C$22-'Mass Ion Calculations'!$C26)/2-'Mass Ion Calculations'!$D$5,('Mass Ion Calculations'!$F$15+'AA Exact Masses'!$Q$3+'AA Exact Masses'!$Q$2-'Mass Ion Calculations'!$E$22-'Mass Ion Calculations'!$E26)/2-'Mass Ion Calculations'!$D$5)))</f>
        <v/>
      </c>
      <c r="T25" s="3" t="str">
        <f>IF(OR($B25="",T$3=""),"",IF('Mass Ion Calculations'!$D$6="Yes",IF('Mass Ion Calculations'!$D$7="Yes",('Mass Ion Calculations'!$D$18+'AA Exact Masses'!$Q$3+'AA Exact Masses'!$Q$2-'Mass Ion Calculations'!$C$22-'Mass Ion Calculations'!$C26)/2-'Mass Ion Calculations'!$D$5,('Mass Ion Calculations'!$F$18+'AA Exact Masses'!$Q$3+'AA Exact Masses'!$Q$2-'Mass Ion Calculations'!$E$22-'Mass Ion Calculations'!$E26)/2-'Mass Ion Calculations'!$D$5),IF('Mass Ion Calculations'!$D$7="Yes", ('Mass Ion Calculations'!$D$15+'AA Exact Masses'!$Q$3+'AA Exact Masses'!$Q$2-'Mass Ion Calculations'!$C$22-'Mass Ion Calculations'!$C26)/2-'Mass Ion Calculations'!$D$5,('Mass Ion Calculations'!$F$15+'AA Exact Masses'!$Q$3+'AA Exact Masses'!$Q$2-'Mass Ion Calculations'!$E$22-'Mass Ion Calculations'!$E26)/2-'Mass Ion Calculations'!$D$5)))</f>
        <v/>
      </c>
      <c r="U25" s="3" t="str">
        <f>IF(OR($B25="",U$3=""),"",IF('Mass Ion Calculations'!$D$6="Yes",IF('Mass Ion Calculations'!$D$7="Yes",('Mass Ion Calculations'!$D$18+'AA Exact Masses'!$Q$3+'AA Exact Masses'!$Q$2-'Mass Ion Calculations'!$C$23-'Mass Ion Calculations'!$C26)/2-'Mass Ion Calculations'!$D$5,('Mass Ion Calculations'!$F$18+'AA Exact Masses'!$Q$3+'AA Exact Masses'!$Q$2-'Mass Ion Calculations'!$E$23-'Mass Ion Calculations'!$E26)/2-'Mass Ion Calculations'!$D$5),IF('Mass Ion Calculations'!$D$7="Yes", ('Mass Ion Calculations'!$D$15+'AA Exact Masses'!$Q$3+'AA Exact Masses'!$Q$2-'Mass Ion Calculations'!$C$23-'Mass Ion Calculations'!$C26)/2-'Mass Ion Calculations'!$D$5,('Mass Ion Calculations'!$F$15+'AA Exact Masses'!$Q$3+'AA Exact Masses'!$Q$2-'Mass Ion Calculations'!$E$23-'Mass Ion Calculations'!$E26)/2-'Mass Ion Calculations'!$D$5)))</f>
        <v/>
      </c>
      <c r="V25" s="3" t="str">
        <f>IF(OR($B25="",V$3=""),"",IF('Mass Ion Calculations'!$D$6="Yes",IF('Mass Ion Calculations'!$D$7="Yes",('Mass Ion Calculations'!$D$18+'AA Exact Masses'!$Q$3+'AA Exact Masses'!$Q$2-'Mass Ion Calculations'!$C$24-'Mass Ion Calculations'!$C26)/2-'Mass Ion Calculations'!$D$5,('Mass Ion Calculations'!$F$18+'AA Exact Masses'!$Q$3+'AA Exact Masses'!$Q$2-'Mass Ion Calculations'!$E$24-'Mass Ion Calculations'!$E26)/2-'Mass Ion Calculations'!$D$5),IF('Mass Ion Calculations'!$D$7="Yes", ('Mass Ion Calculations'!$D$15+'AA Exact Masses'!$Q$3+'AA Exact Masses'!$Q$2-'Mass Ion Calculations'!$C$24-'Mass Ion Calculations'!$C26)/2-'Mass Ion Calculations'!$D$5,('Mass Ion Calculations'!$F$15+'AA Exact Masses'!$Q$3+'AA Exact Masses'!$Q$2-'Mass Ion Calculations'!$E$24-'Mass Ion Calculations'!$E26)/2-'Mass Ion Calculations'!$D$5)))</f>
        <v/>
      </c>
      <c r="W25" s="3" t="str">
        <f>IF(OR($B25="",W$3=""),"",IF('Mass Ion Calculations'!$D$6="Yes",IF('Mass Ion Calculations'!$D$7="Yes",('Mass Ion Calculations'!$D$18+'AA Exact Masses'!$Q$3+'AA Exact Masses'!$Q$2-'Mass Ion Calculations'!$C$25-'Mass Ion Calculations'!$C26)/2-'Mass Ion Calculations'!$D$5,('Mass Ion Calculations'!$F$18+'AA Exact Masses'!$Q$3+'AA Exact Masses'!$Q$2-'Mass Ion Calculations'!$E$25-'Mass Ion Calculations'!$E26)/2-'Mass Ion Calculations'!$D$5),IF('Mass Ion Calculations'!$D$7="Yes", ('Mass Ion Calculations'!$D$15+'AA Exact Masses'!$Q$3+'AA Exact Masses'!$Q$2-'Mass Ion Calculations'!$C$25-'Mass Ion Calculations'!$C26)/2-'Mass Ion Calculations'!$D$5,('Mass Ion Calculations'!$F$15+'AA Exact Masses'!$Q$3+'AA Exact Masses'!$Q$2-'Mass Ion Calculations'!$E$25-'Mass Ion Calculations'!$E26)/2-'Mass Ion Calculations'!$D$5)))</f>
        <v/>
      </c>
      <c r="X25" s="3" t="str">
        <f>IF(OR($B25="",X$3=""),"",IF('Mass Ion Calculations'!$D$6="Yes",IF('Mass Ion Calculations'!$D$7="Yes",('Mass Ion Calculations'!$D$18+'AA Exact Masses'!$Q$3+'AA Exact Masses'!$Q$2-'Mass Ion Calculations'!$C$26-'Mass Ion Calculations'!$C26)/2-'Mass Ion Calculations'!$D$5,('Mass Ion Calculations'!$F$18+'AA Exact Masses'!$Q$3+'AA Exact Masses'!$Q$2-'Mass Ion Calculations'!$E$26-'Mass Ion Calculations'!$E26)/2-'Mass Ion Calculations'!$D$5),IF('Mass Ion Calculations'!$D$7="Yes", ('Mass Ion Calculations'!$D$15+'AA Exact Masses'!$Q$3+'AA Exact Masses'!$Q$2-'Mass Ion Calculations'!$C$26-'Mass Ion Calculations'!$C26)/2-'Mass Ion Calculations'!$D$5,('Mass Ion Calculations'!$F$15+'AA Exact Masses'!$Q$3+'AA Exact Masses'!$Q$2-'Mass Ion Calculations'!$E$26-'Mass Ion Calculations'!$E26)/2-'Mass Ion Calculations'!$D$5)))</f>
        <v/>
      </c>
      <c r="Y25" s="3" t="str">
        <f>IF(OR($B25="",Y$3=""),"",IF('Mass Ion Calculations'!$D$6="Yes",IF('Mass Ion Calculations'!$D$7="Yes",('Mass Ion Calculations'!$D$18+'AA Exact Masses'!$Q$3+'AA Exact Masses'!$Q$2-'Mass Ion Calculations'!$C$27-'Mass Ion Calculations'!$C26)/2-'Mass Ion Calculations'!$D$5,('Mass Ion Calculations'!$F$18+'AA Exact Masses'!$Q$3+'AA Exact Masses'!$Q$2-'Mass Ion Calculations'!$E$27-'Mass Ion Calculations'!$E26)/2-'Mass Ion Calculations'!$D$5),IF('Mass Ion Calculations'!$D$7="Yes", ('Mass Ion Calculations'!$D$15+'AA Exact Masses'!$Q$3+'AA Exact Masses'!$Q$2-'Mass Ion Calculations'!$C$27-'Mass Ion Calculations'!$C26)/2-'Mass Ion Calculations'!$D$5,('Mass Ion Calculations'!$F$15+'AA Exact Masses'!$Q$3+'AA Exact Masses'!$Q$2-'Mass Ion Calculations'!$E$27-'Mass Ion Calculations'!$E26)/2-'Mass Ion Calculations'!$D$5)))</f>
        <v/>
      </c>
      <c r="Z25" s="3" t="str">
        <f>IF(OR($B25="",Z$3=""),"",IF('Mass Ion Calculations'!$D$6="Yes",IF('Mass Ion Calculations'!$D$7="Yes",('Mass Ion Calculations'!$D$18+'AA Exact Masses'!$Q$3+'AA Exact Masses'!$Q$2-'Mass Ion Calculations'!$C$28-'Mass Ion Calculations'!$C26)/2-'Mass Ion Calculations'!$D$5,('Mass Ion Calculations'!$F$18+'AA Exact Masses'!$Q$3+'AA Exact Masses'!$Q$2-'Mass Ion Calculations'!$E$28-'Mass Ion Calculations'!$E26)/2-'Mass Ion Calculations'!$D$5),IF('Mass Ion Calculations'!$D$7="Yes", ('Mass Ion Calculations'!$D$15+'AA Exact Masses'!$Q$3+'AA Exact Masses'!$Q$2-'Mass Ion Calculations'!$C$28-'Mass Ion Calculations'!$C26)/2-'Mass Ion Calculations'!$D$5,('Mass Ion Calculations'!$F$15+'AA Exact Masses'!$Q$3+'AA Exact Masses'!$Q$2-'Mass Ion Calculations'!$E$28-'Mass Ion Calculations'!$E26)/2-'Mass Ion Calculations'!$D$5)))</f>
        <v/>
      </c>
    </row>
    <row r="26" spans="2:26" x14ac:dyDescent="0.25">
      <c r="C26" s="3" t="str">
        <f>IF(OR($B26="",C$3=""),"",IF('Mass Ion Calculations'!$D$6="Yes",IF('Mass Ion Calculations'!$D$7="Yes",('Mass Ion Calculations'!$D$18+'AA Exact Masses'!$Q$3+'AA Exact Masses'!$Q$2-'Mass Ion Calculations'!$C$5-'Mass Ion Calculations'!$C27)/2-'Mass Ion Calculations'!$D$5,('Mass Ion Calculations'!$F$18+'AA Exact Masses'!$Q$3+'AA Exact Masses'!$Q$2-'Mass Ion Calculations'!$E$5-'Mass Ion Calculations'!$E27)/2-'Mass Ion Calculations'!$D$5),IF('Mass Ion Calculations'!$D$7="Yes", ('Mass Ion Calculations'!$D$15+'AA Exact Masses'!$Q$3+'AA Exact Masses'!$Q$2-'Mass Ion Calculations'!$C$5-'Mass Ion Calculations'!$C27)/2-'Mass Ion Calculations'!$D$5,('Mass Ion Calculations'!$F$15+'AA Exact Masses'!$Q$3+'AA Exact Masses'!$Q$2-'Mass Ion Calculations'!$E$5-'Mass Ion Calculations'!$E27)/2-'Mass Ion Calculations'!$D$5)))</f>
        <v/>
      </c>
      <c r="D26" s="3" t="str">
        <f>IF(OR($B26="",D$3=""),"",IF('Mass Ion Calculations'!$D$6="Yes",IF('Mass Ion Calculations'!$D$7="Yes",('Mass Ion Calculations'!$D$18+'AA Exact Masses'!$Q$3+'AA Exact Masses'!$Q$2-'Mass Ion Calculations'!$C$6-'Mass Ion Calculations'!$C27)/2-'Mass Ion Calculations'!$D$5,('Mass Ion Calculations'!$F$18+'AA Exact Masses'!$Q$3+'AA Exact Masses'!$Q$2-'Mass Ion Calculations'!$E$6-'Mass Ion Calculations'!$E27)/2-'Mass Ion Calculations'!$D$5),IF('Mass Ion Calculations'!$D$7="Yes", ('Mass Ion Calculations'!$D$15+'AA Exact Masses'!$Q$3+'AA Exact Masses'!$Q$2-'Mass Ion Calculations'!$C$6-'Mass Ion Calculations'!$C27)/2-'Mass Ion Calculations'!$D$5,('Mass Ion Calculations'!$F$15+'AA Exact Masses'!$Q$3+'AA Exact Masses'!$Q$2-'Mass Ion Calculations'!$E$6-'Mass Ion Calculations'!$E27)/2-'Mass Ion Calculations'!$D$5)))</f>
        <v/>
      </c>
      <c r="E26" s="3" t="str">
        <f>IF(OR($B26="",E$3=""),"",IF('Mass Ion Calculations'!$D$6="Yes",IF('Mass Ion Calculations'!$D$7="Yes",('Mass Ion Calculations'!$D$18+'AA Exact Masses'!$Q$3+'AA Exact Masses'!$Q$2-'Mass Ion Calculations'!$C$7-'Mass Ion Calculations'!$C27)/2-'Mass Ion Calculations'!$D$5,('Mass Ion Calculations'!$F$18+'AA Exact Masses'!$Q$3+'AA Exact Masses'!$Q$2-'Mass Ion Calculations'!$E$7-'Mass Ion Calculations'!$E27)/2-'Mass Ion Calculations'!$D$5),IF('Mass Ion Calculations'!$D$7="Yes", ('Mass Ion Calculations'!$D$15+'AA Exact Masses'!$Q$3+'AA Exact Masses'!$Q$2-'Mass Ion Calculations'!$C$7-'Mass Ion Calculations'!$C27)/2-'Mass Ion Calculations'!$D$5,('Mass Ion Calculations'!$F$15+'AA Exact Masses'!$Q$3+'AA Exact Masses'!$Q$2-'Mass Ion Calculations'!$E$7-'Mass Ion Calculations'!$E27)/2-'Mass Ion Calculations'!$D$5)))</f>
        <v/>
      </c>
      <c r="F26" s="3" t="str">
        <f>IF(OR($B26="",F$3=""),"",IF('Mass Ion Calculations'!$D$6="Yes",IF('Mass Ion Calculations'!$D$7="Yes",('Mass Ion Calculations'!$D$18+'AA Exact Masses'!$Q$3+'AA Exact Masses'!$Q$2-'Mass Ion Calculations'!$C$8-'Mass Ion Calculations'!$C27)/2-'Mass Ion Calculations'!$D$5,('Mass Ion Calculations'!$F$18+'AA Exact Masses'!$Q$3+'AA Exact Masses'!$Q$2-'Mass Ion Calculations'!$E$8-'Mass Ion Calculations'!$E27)/2-'Mass Ion Calculations'!$D$5),IF('Mass Ion Calculations'!$D$7="Yes", ('Mass Ion Calculations'!$D$15+'AA Exact Masses'!$Q$3+'AA Exact Masses'!$Q$2-'Mass Ion Calculations'!$C$8-'Mass Ion Calculations'!$C27)/2-'Mass Ion Calculations'!$D$5,('Mass Ion Calculations'!$F$15+'AA Exact Masses'!$Q$3+'AA Exact Masses'!$Q$2-'Mass Ion Calculations'!$E$8-'Mass Ion Calculations'!$E27)/2-'Mass Ion Calculations'!$D$5)))</f>
        <v/>
      </c>
      <c r="G26" s="3" t="str">
        <f>IF(OR($B26="",G$3=""),"",IF('Mass Ion Calculations'!$D$6="Yes",IF('Mass Ion Calculations'!$D$7="Yes",('Mass Ion Calculations'!$D$18+'AA Exact Masses'!$Q$3+'AA Exact Masses'!$Q$2-'Mass Ion Calculations'!$C$9-'Mass Ion Calculations'!$C27)/2-'Mass Ion Calculations'!$D$5,('Mass Ion Calculations'!$F$18+'AA Exact Masses'!$Q$3+'AA Exact Masses'!$Q$2-'Mass Ion Calculations'!$E$9-'Mass Ion Calculations'!$E27)/2-'Mass Ion Calculations'!$D$5),IF('Mass Ion Calculations'!$D$7="Yes", ('Mass Ion Calculations'!$D$15+'AA Exact Masses'!$Q$3+'AA Exact Masses'!$Q$2-'Mass Ion Calculations'!$C$9-'Mass Ion Calculations'!$C27)/2-'Mass Ion Calculations'!$D$5,('Mass Ion Calculations'!$F$15+'AA Exact Masses'!$Q$3+'AA Exact Masses'!$Q$2-'Mass Ion Calculations'!$E$9-'Mass Ion Calculations'!$E27)/2-'Mass Ion Calculations'!$D$5)))</f>
        <v/>
      </c>
      <c r="H26" s="3" t="str">
        <f>IF(OR($B26="",H$3=""),"",IF('Mass Ion Calculations'!$D$6="Yes",IF('Mass Ion Calculations'!$D$7="Yes",('Mass Ion Calculations'!$D$18+'AA Exact Masses'!$Q$3+'AA Exact Masses'!$Q$2-'Mass Ion Calculations'!$C$10-'Mass Ion Calculations'!$C27)/2-'Mass Ion Calculations'!$D$5,('Mass Ion Calculations'!$F$18+'AA Exact Masses'!$Q$3+'AA Exact Masses'!$Q$2-'Mass Ion Calculations'!$E$10-'Mass Ion Calculations'!$E27)/2-'Mass Ion Calculations'!$D$5),IF('Mass Ion Calculations'!$D$7="Yes", ('Mass Ion Calculations'!$D$15+'AA Exact Masses'!$Q$3+'AA Exact Masses'!$Q$2-'Mass Ion Calculations'!$C$10-'Mass Ion Calculations'!$C27)/2-'Mass Ion Calculations'!$D$5,('Mass Ion Calculations'!$F$15+'AA Exact Masses'!$Q$3+'AA Exact Masses'!$Q$2-'Mass Ion Calculations'!$E$10-'Mass Ion Calculations'!$E27)/2-'Mass Ion Calculations'!$D$5)))</f>
        <v/>
      </c>
      <c r="I26" s="3" t="str">
        <f>IF(OR($B26="",I$3=""),"",IF('Mass Ion Calculations'!$D$6="Yes",IF('Mass Ion Calculations'!$D$7="Yes",('Mass Ion Calculations'!$D$18+'AA Exact Masses'!$Q$3+'AA Exact Masses'!$Q$2-'Mass Ion Calculations'!$C$11-'Mass Ion Calculations'!$C27)/2-'Mass Ion Calculations'!$D$5,('Mass Ion Calculations'!$F$18+'AA Exact Masses'!$Q$3+'AA Exact Masses'!$Q$2-'Mass Ion Calculations'!$E$11-'Mass Ion Calculations'!$E27)/2-'Mass Ion Calculations'!$D$5),IF('Mass Ion Calculations'!$D$7="Yes", ('Mass Ion Calculations'!$D$15+'AA Exact Masses'!$Q$3+'AA Exact Masses'!$Q$2-'Mass Ion Calculations'!$C$11-'Mass Ion Calculations'!$C27)/2-'Mass Ion Calculations'!$D$5,('Mass Ion Calculations'!$F$15+'AA Exact Masses'!$Q$3+'AA Exact Masses'!$Q$2-'Mass Ion Calculations'!$E$11-'Mass Ion Calculations'!$E27)/2-'Mass Ion Calculations'!$D$5)))</f>
        <v/>
      </c>
      <c r="J26" s="3" t="str">
        <f>IF(OR($B26="",J$3=""),"",IF('Mass Ion Calculations'!$D$6="Yes",IF('Mass Ion Calculations'!$D$7="Yes",('Mass Ion Calculations'!$D$18+'AA Exact Masses'!$Q$3+'AA Exact Masses'!$Q$2-'Mass Ion Calculations'!$C$12-'Mass Ion Calculations'!$C27)/2-'Mass Ion Calculations'!$D$5,('Mass Ion Calculations'!$F$18+'AA Exact Masses'!$Q$3+'AA Exact Masses'!$Q$2-'Mass Ion Calculations'!$E$12-'Mass Ion Calculations'!$E27)/2-'Mass Ion Calculations'!$D$5),IF('Mass Ion Calculations'!$D$7="Yes", ('Mass Ion Calculations'!$D$15+'AA Exact Masses'!$Q$3+'AA Exact Masses'!$Q$2-'Mass Ion Calculations'!$C$12-'Mass Ion Calculations'!$C27)/2-'Mass Ion Calculations'!$D$5,('Mass Ion Calculations'!$F$15+'AA Exact Masses'!$Q$3+'AA Exact Masses'!$Q$2-'Mass Ion Calculations'!$E$12-'Mass Ion Calculations'!$E27)/2-'Mass Ion Calculations'!$D$5)))</f>
        <v/>
      </c>
      <c r="K26" s="3" t="str">
        <f>IF(OR($B26="",K$3=""),"",IF('Mass Ion Calculations'!$D$6="Yes",IF('Mass Ion Calculations'!$D$7="Yes",('Mass Ion Calculations'!$D$18+'AA Exact Masses'!$Q$3+'AA Exact Masses'!$Q$2-'Mass Ion Calculations'!$C$13-'Mass Ion Calculations'!$C27)/2-'Mass Ion Calculations'!$D$5,('Mass Ion Calculations'!$F$18+'AA Exact Masses'!$Q$3+'AA Exact Masses'!$Q$2-'Mass Ion Calculations'!$E$14-'Mass Ion Calculations'!$E27)/2-'Mass Ion Calculations'!$D$5),IF('Mass Ion Calculations'!$D$7="Yes", ('Mass Ion Calculations'!$D$15+'AA Exact Masses'!$Q$3+'AA Exact Masses'!$Q$2-'Mass Ion Calculations'!$C$13-'Mass Ion Calculations'!$C27)/2-'Mass Ion Calculations'!$D$5,('Mass Ion Calculations'!$F$15+'AA Exact Masses'!$Q$3+'AA Exact Masses'!$Q$2-'Mass Ion Calculations'!$E$14-'Mass Ion Calculations'!$E27)/2-'Mass Ion Calculations'!$D$5)))</f>
        <v/>
      </c>
      <c r="L26" s="3" t="str">
        <f>IF(OR($B26="",L$3=""),"",IF('Mass Ion Calculations'!$D$6="Yes",IF('Mass Ion Calculations'!$D$7="Yes",('Mass Ion Calculations'!$D$18+'AA Exact Masses'!$Q$3+'AA Exact Masses'!$Q$2-'Mass Ion Calculations'!$C$14-'Mass Ion Calculations'!$C27)/2-'Mass Ion Calculations'!$D$5,('Mass Ion Calculations'!$F$18+'AA Exact Masses'!$Q$3+'AA Exact Masses'!$Q$2-'Mass Ion Calculations'!$E$15-'Mass Ion Calculations'!$E27)/2-'Mass Ion Calculations'!$D$5),IF('Mass Ion Calculations'!$D$7="Yes", ('Mass Ion Calculations'!$D$15+'AA Exact Masses'!$Q$3+'AA Exact Masses'!$Q$2-'Mass Ion Calculations'!$C$14-'Mass Ion Calculations'!$C27)/2-'Mass Ion Calculations'!$D$5,('Mass Ion Calculations'!$F$15+'AA Exact Masses'!$Q$3+'AA Exact Masses'!$Q$2-'Mass Ion Calculations'!$E$15-'Mass Ion Calculations'!$E27)/2-'Mass Ion Calculations'!$D$5)))</f>
        <v/>
      </c>
      <c r="M26" s="3" t="str">
        <f>IF(OR($B26="",M$3=""),"",IF('Mass Ion Calculations'!$D$6="Yes",IF('Mass Ion Calculations'!$D$7="Yes",('Mass Ion Calculations'!$D$18+'AA Exact Masses'!$Q$3+'AA Exact Masses'!$Q$2-'Mass Ion Calculations'!$C$15-'Mass Ion Calculations'!$C27)/2-'Mass Ion Calculations'!$D$5,('Mass Ion Calculations'!$F$18+'AA Exact Masses'!$Q$3+'AA Exact Masses'!$Q$2-'Mass Ion Calculations'!$E$16-'Mass Ion Calculations'!$E27)/2-'Mass Ion Calculations'!$D$5),IF('Mass Ion Calculations'!$D$7="Yes", ('Mass Ion Calculations'!$D$15+'AA Exact Masses'!$Q$3+'AA Exact Masses'!$Q$2-'Mass Ion Calculations'!$C$15-'Mass Ion Calculations'!$C27)/2-'Mass Ion Calculations'!$D$5,('Mass Ion Calculations'!$F$15+'AA Exact Masses'!$Q$3+'AA Exact Masses'!$Q$2-'Mass Ion Calculations'!$E$16-'Mass Ion Calculations'!$E27)/2-'Mass Ion Calculations'!$D$5)))</f>
        <v/>
      </c>
      <c r="N26" s="3" t="str">
        <f>IF(OR($B26="",N$3=""),"",IF('Mass Ion Calculations'!$D$6="Yes",IF('Mass Ion Calculations'!$D$7="Yes",('Mass Ion Calculations'!$D$18+'AA Exact Masses'!$Q$3+'AA Exact Masses'!$Q$2-'Mass Ion Calculations'!$C$16-'Mass Ion Calculations'!$C27)/2-'Mass Ion Calculations'!$D$5,('Mass Ion Calculations'!$F$18+'AA Exact Masses'!$Q$3+'AA Exact Masses'!$Q$2-'Mass Ion Calculations'!$E$17-'Mass Ion Calculations'!$E27)/2-'Mass Ion Calculations'!$D$5),IF('Mass Ion Calculations'!$D$7="Yes", ('Mass Ion Calculations'!$D$15+'AA Exact Masses'!$Q$3+'AA Exact Masses'!$Q$2-'Mass Ion Calculations'!$C$16-'Mass Ion Calculations'!$C27)/2-'Mass Ion Calculations'!$D$5,('Mass Ion Calculations'!$F$15+'AA Exact Masses'!$Q$3+'AA Exact Masses'!$Q$2-'Mass Ion Calculations'!$E$17-'Mass Ion Calculations'!$E27)/2-'Mass Ion Calculations'!$D$5)))</f>
        <v/>
      </c>
      <c r="O26" s="3" t="str">
        <f>IF(OR($B26="",O$3=""),"",IF('Mass Ion Calculations'!$D$6="Yes",IF('Mass Ion Calculations'!$D$7="Yes",('Mass Ion Calculations'!$D$18+'AA Exact Masses'!$Q$3+'AA Exact Masses'!$Q$2-'Mass Ion Calculations'!$C$17-'Mass Ion Calculations'!$C27)/2-'Mass Ion Calculations'!$D$5,('Mass Ion Calculations'!$F$18+'AA Exact Masses'!$Q$3+'AA Exact Masses'!$Q$2-'Mass Ion Calculations'!$E$18-'Mass Ion Calculations'!$E27)/2-'Mass Ion Calculations'!$D$5),IF('Mass Ion Calculations'!$D$7="Yes", ('Mass Ion Calculations'!$D$15+'AA Exact Masses'!$Q$3+'AA Exact Masses'!$Q$2-'Mass Ion Calculations'!$C$17-'Mass Ion Calculations'!$C27)/2-'Mass Ion Calculations'!$D$5,('Mass Ion Calculations'!$F$15+'AA Exact Masses'!$Q$3+'AA Exact Masses'!$Q$2-'Mass Ion Calculations'!$E$18-'Mass Ion Calculations'!$E27)/2-'Mass Ion Calculations'!$D$5)))</f>
        <v/>
      </c>
      <c r="P26" s="3" t="str">
        <f>IF(OR($B26="",P$3=""),"",IF('Mass Ion Calculations'!$D$6="Yes",IF('Mass Ion Calculations'!$D$7="Yes",('Mass Ion Calculations'!$D$18+'AA Exact Masses'!$Q$3+'AA Exact Masses'!$Q$2-'Mass Ion Calculations'!$C$19-'Mass Ion Calculations'!$C27)/2-'Mass Ion Calculations'!$D$5,('Mass Ion Calculations'!$F$18+'AA Exact Masses'!$Q$3+'AA Exact Masses'!$Q$2-'Mass Ion Calculations'!$E$19-'Mass Ion Calculations'!$E27)/2-'Mass Ion Calculations'!$D$5),IF('Mass Ion Calculations'!$D$7="Yes", ('Mass Ion Calculations'!$D$15+'AA Exact Masses'!$Q$3+'AA Exact Masses'!$Q$2-'Mass Ion Calculations'!$C$19-'Mass Ion Calculations'!$C27)/2-'Mass Ion Calculations'!$D$5,('Mass Ion Calculations'!$F$15+'AA Exact Masses'!$Q$3+'AA Exact Masses'!$Q$2-'Mass Ion Calculations'!$E$19-'Mass Ion Calculations'!$E27)/2-'Mass Ion Calculations'!$D$5)))</f>
        <v/>
      </c>
      <c r="Q26" s="3" t="str">
        <f>IF(OR($B26="",Q$3=""),"",IF('Mass Ion Calculations'!$D$6="Yes",IF('Mass Ion Calculations'!$D$7="Yes",('Mass Ion Calculations'!$D$18+'AA Exact Masses'!$Q$3+'AA Exact Masses'!$Q$2-'Mass Ion Calculations'!$C$20-'Mass Ion Calculations'!$C27)/2-'Mass Ion Calculations'!$D$5,('Mass Ion Calculations'!$F$18+'AA Exact Masses'!$Q$3+'AA Exact Masses'!$Q$2-'Mass Ion Calculations'!$E$20-'Mass Ion Calculations'!$E27)/2-'Mass Ion Calculations'!$D$5),IF('Mass Ion Calculations'!$D$7="Yes", ('Mass Ion Calculations'!$D$15+'AA Exact Masses'!$Q$3+'AA Exact Masses'!$Q$2-'Mass Ion Calculations'!$C$20-'Mass Ion Calculations'!$C27)/2-'Mass Ion Calculations'!$D$5,('Mass Ion Calculations'!$F$15+'AA Exact Masses'!$Q$3+'AA Exact Masses'!$Q$2-'Mass Ion Calculations'!$E$20-'Mass Ion Calculations'!$E27)/2-'Mass Ion Calculations'!$D$5)))</f>
        <v/>
      </c>
      <c r="R26" s="3" t="str">
        <f>IF(OR($B26="",R$3=""),"",IF('Mass Ion Calculations'!$D$6="Yes",IF('Mass Ion Calculations'!$D$7="Yes",('Mass Ion Calculations'!$D$18+'AA Exact Masses'!$Q$3+'AA Exact Masses'!$Q$2-'Mass Ion Calculations'!$C$21-'Mass Ion Calculations'!$C27)/2-'Mass Ion Calculations'!$D$5,('Mass Ion Calculations'!$F$18+'AA Exact Masses'!$Q$3+'AA Exact Masses'!$Q$2-'Mass Ion Calculations'!$E$21-'Mass Ion Calculations'!$E27)/2-'Mass Ion Calculations'!$D$5),IF('Mass Ion Calculations'!$D$7="Yes", ('Mass Ion Calculations'!$D$15+'AA Exact Masses'!$Q$3+'AA Exact Masses'!$Q$2-'Mass Ion Calculations'!$C$21-'Mass Ion Calculations'!$C27)/2-'Mass Ion Calculations'!$D$5,('Mass Ion Calculations'!$F$15+'AA Exact Masses'!$Q$3+'AA Exact Masses'!$Q$2-'Mass Ion Calculations'!$E$21-'Mass Ion Calculations'!$E27)/2-'Mass Ion Calculations'!$D$5)))</f>
        <v/>
      </c>
      <c r="S26" s="3" t="str">
        <f>IF(OR($B26="",S$3=""),"",IF('Mass Ion Calculations'!$D$6="Yes",IF('Mass Ion Calculations'!$D$7="Yes",('Mass Ion Calculations'!$D$18+'AA Exact Masses'!$Q$3+'AA Exact Masses'!$Q$2-'Mass Ion Calculations'!$C$22-'Mass Ion Calculations'!$C27)/2-'Mass Ion Calculations'!$D$5,('Mass Ion Calculations'!$F$18+'AA Exact Masses'!$Q$3+'AA Exact Masses'!$Q$2-'Mass Ion Calculations'!$E$22-'Mass Ion Calculations'!$E27)/2-'Mass Ion Calculations'!$D$5),IF('Mass Ion Calculations'!$D$7="Yes", ('Mass Ion Calculations'!$D$15+'AA Exact Masses'!$Q$3+'AA Exact Masses'!$Q$2-'Mass Ion Calculations'!$C$22-'Mass Ion Calculations'!$C27)/2-'Mass Ion Calculations'!$D$5,('Mass Ion Calculations'!$F$15+'AA Exact Masses'!$Q$3+'AA Exact Masses'!$Q$2-'Mass Ion Calculations'!$E$22-'Mass Ion Calculations'!$E27)/2-'Mass Ion Calculations'!$D$5)))</f>
        <v/>
      </c>
      <c r="T26" s="3" t="str">
        <f>IF(OR($B26="",T$3=""),"",IF('Mass Ion Calculations'!$D$6="Yes",IF('Mass Ion Calculations'!$D$7="Yes",('Mass Ion Calculations'!$D$18+'AA Exact Masses'!$Q$3+'AA Exact Masses'!$Q$2-'Mass Ion Calculations'!$C$22-'Mass Ion Calculations'!$C27)/2-'Mass Ion Calculations'!$D$5,('Mass Ion Calculations'!$F$18+'AA Exact Masses'!$Q$3+'AA Exact Masses'!$Q$2-'Mass Ion Calculations'!$E$22-'Mass Ion Calculations'!$E27)/2-'Mass Ion Calculations'!$D$5),IF('Mass Ion Calculations'!$D$7="Yes", ('Mass Ion Calculations'!$D$15+'AA Exact Masses'!$Q$3+'AA Exact Masses'!$Q$2-'Mass Ion Calculations'!$C$22-'Mass Ion Calculations'!$C27)/2-'Mass Ion Calculations'!$D$5,('Mass Ion Calculations'!$F$15+'AA Exact Masses'!$Q$3+'AA Exact Masses'!$Q$2-'Mass Ion Calculations'!$E$22-'Mass Ion Calculations'!$E27)/2-'Mass Ion Calculations'!$D$5)))</f>
        <v/>
      </c>
      <c r="U26" s="3" t="str">
        <f>IF(OR($B26="",U$3=""),"",IF('Mass Ion Calculations'!$D$6="Yes",IF('Mass Ion Calculations'!$D$7="Yes",('Mass Ion Calculations'!$D$18+'AA Exact Masses'!$Q$3+'AA Exact Masses'!$Q$2-'Mass Ion Calculations'!$C$23-'Mass Ion Calculations'!$C27)/2-'Mass Ion Calculations'!$D$5,('Mass Ion Calculations'!$F$18+'AA Exact Masses'!$Q$3+'AA Exact Masses'!$Q$2-'Mass Ion Calculations'!$E$23-'Mass Ion Calculations'!$E27)/2-'Mass Ion Calculations'!$D$5),IF('Mass Ion Calculations'!$D$7="Yes", ('Mass Ion Calculations'!$D$15+'AA Exact Masses'!$Q$3+'AA Exact Masses'!$Q$2-'Mass Ion Calculations'!$C$23-'Mass Ion Calculations'!$C27)/2-'Mass Ion Calculations'!$D$5,('Mass Ion Calculations'!$F$15+'AA Exact Masses'!$Q$3+'AA Exact Masses'!$Q$2-'Mass Ion Calculations'!$E$23-'Mass Ion Calculations'!$E27)/2-'Mass Ion Calculations'!$D$5)))</f>
        <v/>
      </c>
      <c r="V26" s="3" t="str">
        <f>IF(OR($B26="",V$3=""),"",IF('Mass Ion Calculations'!$D$6="Yes",IF('Mass Ion Calculations'!$D$7="Yes",('Mass Ion Calculations'!$D$18+'AA Exact Masses'!$Q$3+'AA Exact Masses'!$Q$2-'Mass Ion Calculations'!$C$24-'Mass Ion Calculations'!$C27)/2-'Mass Ion Calculations'!$D$5,('Mass Ion Calculations'!$F$18+'AA Exact Masses'!$Q$3+'AA Exact Masses'!$Q$2-'Mass Ion Calculations'!$E$24-'Mass Ion Calculations'!$E27)/2-'Mass Ion Calculations'!$D$5),IF('Mass Ion Calculations'!$D$7="Yes", ('Mass Ion Calculations'!$D$15+'AA Exact Masses'!$Q$3+'AA Exact Masses'!$Q$2-'Mass Ion Calculations'!$C$24-'Mass Ion Calculations'!$C27)/2-'Mass Ion Calculations'!$D$5,('Mass Ion Calculations'!$F$15+'AA Exact Masses'!$Q$3+'AA Exact Masses'!$Q$2-'Mass Ion Calculations'!$E$24-'Mass Ion Calculations'!$E27)/2-'Mass Ion Calculations'!$D$5)))</f>
        <v/>
      </c>
      <c r="W26" s="3" t="str">
        <f>IF(OR($B26="",W$3=""),"",IF('Mass Ion Calculations'!$D$6="Yes",IF('Mass Ion Calculations'!$D$7="Yes",('Mass Ion Calculations'!$D$18+'AA Exact Masses'!$Q$3+'AA Exact Masses'!$Q$2-'Mass Ion Calculations'!$C$25-'Mass Ion Calculations'!$C27)/2-'Mass Ion Calculations'!$D$5,('Mass Ion Calculations'!$F$18+'AA Exact Masses'!$Q$3+'AA Exact Masses'!$Q$2-'Mass Ion Calculations'!$E$25-'Mass Ion Calculations'!$E27)/2-'Mass Ion Calculations'!$D$5),IF('Mass Ion Calculations'!$D$7="Yes", ('Mass Ion Calculations'!$D$15+'AA Exact Masses'!$Q$3+'AA Exact Masses'!$Q$2-'Mass Ion Calculations'!$C$25-'Mass Ion Calculations'!$C27)/2-'Mass Ion Calculations'!$D$5,('Mass Ion Calculations'!$F$15+'AA Exact Masses'!$Q$3+'AA Exact Masses'!$Q$2-'Mass Ion Calculations'!$E$25-'Mass Ion Calculations'!$E27)/2-'Mass Ion Calculations'!$D$5)))</f>
        <v/>
      </c>
      <c r="X26" s="3" t="str">
        <f>IF(OR($B26="",X$3=""),"",IF('Mass Ion Calculations'!$D$6="Yes",IF('Mass Ion Calculations'!$D$7="Yes",('Mass Ion Calculations'!$D$18+'AA Exact Masses'!$Q$3+'AA Exact Masses'!$Q$2-'Mass Ion Calculations'!$C$26-'Mass Ion Calculations'!$C27)/2-'Mass Ion Calculations'!$D$5,('Mass Ion Calculations'!$F$18+'AA Exact Masses'!$Q$3+'AA Exact Masses'!$Q$2-'Mass Ion Calculations'!$E$26-'Mass Ion Calculations'!$E27)/2-'Mass Ion Calculations'!$D$5),IF('Mass Ion Calculations'!$D$7="Yes", ('Mass Ion Calculations'!$D$15+'AA Exact Masses'!$Q$3+'AA Exact Masses'!$Q$2-'Mass Ion Calculations'!$C$26-'Mass Ion Calculations'!$C27)/2-'Mass Ion Calculations'!$D$5,('Mass Ion Calculations'!$F$15+'AA Exact Masses'!$Q$3+'AA Exact Masses'!$Q$2-'Mass Ion Calculations'!$E$26-'Mass Ion Calculations'!$E27)/2-'Mass Ion Calculations'!$D$5)))</f>
        <v/>
      </c>
      <c r="Y26" s="3" t="str">
        <f>IF(OR($B26="",Y$3=""),"",IF('Mass Ion Calculations'!$D$6="Yes",IF('Mass Ion Calculations'!$D$7="Yes",('Mass Ion Calculations'!$D$18+'AA Exact Masses'!$Q$3+'AA Exact Masses'!$Q$2-'Mass Ion Calculations'!$C$27-'Mass Ion Calculations'!$C27)/2-'Mass Ion Calculations'!$D$5,('Mass Ion Calculations'!$F$18+'AA Exact Masses'!$Q$3+'AA Exact Masses'!$Q$2-'Mass Ion Calculations'!$E$27-'Mass Ion Calculations'!$E27)/2-'Mass Ion Calculations'!$D$5),IF('Mass Ion Calculations'!$D$7="Yes", ('Mass Ion Calculations'!$D$15+'AA Exact Masses'!$Q$3+'AA Exact Masses'!$Q$2-'Mass Ion Calculations'!$C$27-'Mass Ion Calculations'!$C27)/2-'Mass Ion Calculations'!$D$5,('Mass Ion Calculations'!$F$15+'AA Exact Masses'!$Q$3+'AA Exact Masses'!$Q$2-'Mass Ion Calculations'!$E$27-'Mass Ion Calculations'!$E27)/2-'Mass Ion Calculations'!$D$5)))</f>
        <v/>
      </c>
      <c r="Z26" s="3" t="str">
        <f>IF(OR($B26="",Z$3=""),"",IF('Mass Ion Calculations'!$D$6="Yes",IF('Mass Ion Calculations'!$D$7="Yes",('Mass Ion Calculations'!$D$18+'AA Exact Masses'!$Q$3+'AA Exact Masses'!$Q$2-'Mass Ion Calculations'!$C$28-'Mass Ion Calculations'!$C27)/2-'Mass Ion Calculations'!$D$5,('Mass Ion Calculations'!$F$18+'AA Exact Masses'!$Q$3+'AA Exact Masses'!$Q$2-'Mass Ion Calculations'!$E$28-'Mass Ion Calculations'!$E27)/2-'Mass Ion Calculations'!$D$5),IF('Mass Ion Calculations'!$D$7="Yes", ('Mass Ion Calculations'!$D$15+'AA Exact Masses'!$Q$3+'AA Exact Masses'!$Q$2-'Mass Ion Calculations'!$C$28-'Mass Ion Calculations'!$C27)/2-'Mass Ion Calculations'!$D$5,('Mass Ion Calculations'!$F$15+'AA Exact Masses'!$Q$3+'AA Exact Masses'!$Q$2-'Mass Ion Calculations'!$E$28-'Mass Ion Calculations'!$E27)/2-'Mass Ion Calculations'!$D$5)))</f>
        <v/>
      </c>
    </row>
    <row r="27" spans="2:26" x14ac:dyDescent="0.25">
      <c r="C27" s="3" t="str">
        <f>IF(OR($B27="",C$3=""),"",IF('Mass Ion Calculations'!$D$6="Yes",IF('Mass Ion Calculations'!$D$7="Yes",('Mass Ion Calculations'!$D$18+'AA Exact Masses'!$Q$3+'AA Exact Masses'!$Q$2-'Mass Ion Calculations'!$C$5-'Mass Ion Calculations'!$C28)/2-'Mass Ion Calculations'!$D$5,('Mass Ion Calculations'!$F$18+'AA Exact Masses'!$Q$3+'AA Exact Masses'!$Q$2-'Mass Ion Calculations'!$E$5-'Mass Ion Calculations'!$E28)/2-'Mass Ion Calculations'!$D$5),IF('Mass Ion Calculations'!$D$7="Yes", ('Mass Ion Calculations'!$D$15+'AA Exact Masses'!$Q$3+'AA Exact Masses'!$Q$2-'Mass Ion Calculations'!$C$5-'Mass Ion Calculations'!$C28)/2-'Mass Ion Calculations'!$D$5,('Mass Ion Calculations'!$F$15+'AA Exact Masses'!$Q$3+'AA Exact Masses'!$Q$2-'Mass Ion Calculations'!$E$5-'Mass Ion Calculations'!$E28)/2-'Mass Ion Calculations'!$D$5)))</f>
        <v/>
      </c>
      <c r="D27" s="3" t="str">
        <f>IF(OR($B27="",D$3=""),"",IF('Mass Ion Calculations'!$D$6="Yes",IF('Mass Ion Calculations'!$D$7="Yes",('Mass Ion Calculations'!$D$18+'AA Exact Masses'!$Q$3+'AA Exact Masses'!$Q$2-'Mass Ion Calculations'!$C$6-'Mass Ion Calculations'!$C28)/2-'Mass Ion Calculations'!$D$5,('Mass Ion Calculations'!$F$18+'AA Exact Masses'!$Q$3+'AA Exact Masses'!$Q$2-'Mass Ion Calculations'!$E$6-'Mass Ion Calculations'!$E28)/2-'Mass Ion Calculations'!$D$5),IF('Mass Ion Calculations'!$D$7="Yes", ('Mass Ion Calculations'!$D$15+'AA Exact Masses'!$Q$3+'AA Exact Masses'!$Q$2-'Mass Ion Calculations'!$C$6-'Mass Ion Calculations'!$C28)/2-'Mass Ion Calculations'!$D$5,('Mass Ion Calculations'!$F$15+'AA Exact Masses'!$Q$3+'AA Exact Masses'!$Q$2-'Mass Ion Calculations'!$E$6-'Mass Ion Calculations'!$E28)/2-'Mass Ion Calculations'!$D$5)))</f>
        <v/>
      </c>
      <c r="E27" s="3" t="str">
        <f>IF(OR($B27="",E$3=""),"",IF('Mass Ion Calculations'!$D$6="Yes",IF('Mass Ion Calculations'!$D$7="Yes",('Mass Ion Calculations'!$D$18+'AA Exact Masses'!$Q$3+'AA Exact Masses'!$Q$2-'Mass Ion Calculations'!$C$7-'Mass Ion Calculations'!$C28)/2-'Mass Ion Calculations'!$D$5,('Mass Ion Calculations'!$F$18+'AA Exact Masses'!$Q$3+'AA Exact Masses'!$Q$2-'Mass Ion Calculations'!$E$7-'Mass Ion Calculations'!$E28)/2-'Mass Ion Calculations'!$D$5),IF('Mass Ion Calculations'!$D$7="Yes", ('Mass Ion Calculations'!$D$15+'AA Exact Masses'!$Q$3+'AA Exact Masses'!$Q$2-'Mass Ion Calculations'!$C$7-'Mass Ion Calculations'!$C28)/2-'Mass Ion Calculations'!$D$5,('Mass Ion Calculations'!$F$15+'AA Exact Masses'!$Q$3+'AA Exact Masses'!$Q$2-'Mass Ion Calculations'!$E$7-'Mass Ion Calculations'!$E28)/2-'Mass Ion Calculations'!$D$5)))</f>
        <v/>
      </c>
      <c r="F27" s="3" t="str">
        <f>IF(OR($B27="",F$3=""),"",IF('Mass Ion Calculations'!$D$6="Yes",IF('Mass Ion Calculations'!$D$7="Yes",('Mass Ion Calculations'!$D$18+'AA Exact Masses'!$Q$3+'AA Exact Masses'!$Q$2-'Mass Ion Calculations'!$C$8-'Mass Ion Calculations'!$C28)/2-'Mass Ion Calculations'!$D$5,('Mass Ion Calculations'!$F$18+'AA Exact Masses'!$Q$3+'AA Exact Masses'!$Q$2-'Mass Ion Calculations'!$E$8-'Mass Ion Calculations'!$E28)/2-'Mass Ion Calculations'!$D$5),IF('Mass Ion Calculations'!$D$7="Yes", ('Mass Ion Calculations'!$D$15+'AA Exact Masses'!$Q$3+'AA Exact Masses'!$Q$2-'Mass Ion Calculations'!$C$8-'Mass Ion Calculations'!$C28)/2-'Mass Ion Calculations'!$D$5,('Mass Ion Calculations'!$F$15+'AA Exact Masses'!$Q$3+'AA Exact Masses'!$Q$2-'Mass Ion Calculations'!$E$8-'Mass Ion Calculations'!$E28)/2-'Mass Ion Calculations'!$D$5)))</f>
        <v/>
      </c>
      <c r="G27" s="3" t="str">
        <f>IF(OR($B27="",G$3=""),"",IF('Mass Ion Calculations'!$D$6="Yes",IF('Mass Ion Calculations'!$D$7="Yes",('Mass Ion Calculations'!$D$18+'AA Exact Masses'!$Q$3+'AA Exact Masses'!$Q$2-'Mass Ion Calculations'!$C$9-'Mass Ion Calculations'!$C28)/2-'Mass Ion Calculations'!$D$5,('Mass Ion Calculations'!$F$18+'AA Exact Masses'!$Q$3+'AA Exact Masses'!$Q$2-'Mass Ion Calculations'!$E$9-'Mass Ion Calculations'!$E28)/2-'Mass Ion Calculations'!$D$5),IF('Mass Ion Calculations'!$D$7="Yes", ('Mass Ion Calculations'!$D$15+'AA Exact Masses'!$Q$3+'AA Exact Masses'!$Q$2-'Mass Ion Calculations'!$C$9-'Mass Ion Calculations'!$C28)/2-'Mass Ion Calculations'!$D$5,('Mass Ion Calculations'!$F$15+'AA Exact Masses'!$Q$3+'AA Exact Masses'!$Q$2-'Mass Ion Calculations'!$E$9-'Mass Ion Calculations'!$E28)/2-'Mass Ion Calculations'!$D$5)))</f>
        <v/>
      </c>
      <c r="H27" s="3" t="str">
        <f>IF(OR($B27="",H$3=""),"",IF('Mass Ion Calculations'!$D$6="Yes",IF('Mass Ion Calculations'!$D$7="Yes",('Mass Ion Calculations'!$D$18+'AA Exact Masses'!$Q$3+'AA Exact Masses'!$Q$2-'Mass Ion Calculations'!$C$10-'Mass Ion Calculations'!$C28)/2-'Mass Ion Calculations'!$D$5,('Mass Ion Calculations'!$F$18+'AA Exact Masses'!$Q$3+'AA Exact Masses'!$Q$2-'Mass Ion Calculations'!$E$10-'Mass Ion Calculations'!$E28)/2-'Mass Ion Calculations'!$D$5),IF('Mass Ion Calculations'!$D$7="Yes", ('Mass Ion Calculations'!$D$15+'AA Exact Masses'!$Q$3+'AA Exact Masses'!$Q$2-'Mass Ion Calculations'!$C$10-'Mass Ion Calculations'!$C28)/2-'Mass Ion Calculations'!$D$5,('Mass Ion Calculations'!$F$15+'AA Exact Masses'!$Q$3+'AA Exact Masses'!$Q$2-'Mass Ion Calculations'!$E$10-'Mass Ion Calculations'!$E28)/2-'Mass Ion Calculations'!$D$5)))</f>
        <v/>
      </c>
      <c r="I27" s="3" t="str">
        <f>IF(OR($B27="",I$3=""),"",IF('Mass Ion Calculations'!$D$6="Yes",IF('Mass Ion Calculations'!$D$7="Yes",('Mass Ion Calculations'!$D$18+'AA Exact Masses'!$Q$3+'AA Exact Masses'!$Q$2-'Mass Ion Calculations'!$C$11-'Mass Ion Calculations'!$C28)/2-'Mass Ion Calculations'!$D$5,('Mass Ion Calculations'!$F$18+'AA Exact Masses'!$Q$3+'AA Exact Masses'!$Q$2-'Mass Ion Calculations'!$E$11-'Mass Ion Calculations'!$E28)/2-'Mass Ion Calculations'!$D$5),IF('Mass Ion Calculations'!$D$7="Yes", ('Mass Ion Calculations'!$D$15+'AA Exact Masses'!$Q$3+'AA Exact Masses'!$Q$2-'Mass Ion Calculations'!$C$11-'Mass Ion Calculations'!$C28)/2-'Mass Ion Calculations'!$D$5,('Mass Ion Calculations'!$F$15+'AA Exact Masses'!$Q$3+'AA Exact Masses'!$Q$2-'Mass Ion Calculations'!$E$11-'Mass Ion Calculations'!$E28)/2-'Mass Ion Calculations'!$D$5)))</f>
        <v/>
      </c>
      <c r="J27" s="3" t="str">
        <f>IF(OR($B27="",J$3=""),"",IF('Mass Ion Calculations'!$D$6="Yes",IF('Mass Ion Calculations'!$D$7="Yes",('Mass Ion Calculations'!$D$18+'AA Exact Masses'!$Q$3+'AA Exact Masses'!$Q$2-'Mass Ion Calculations'!$C$12-'Mass Ion Calculations'!$C28)/2-'Mass Ion Calculations'!$D$5,('Mass Ion Calculations'!$F$18+'AA Exact Masses'!$Q$3+'AA Exact Masses'!$Q$2-'Mass Ion Calculations'!$E$12-'Mass Ion Calculations'!$E28)/2-'Mass Ion Calculations'!$D$5),IF('Mass Ion Calculations'!$D$7="Yes", ('Mass Ion Calculations'!$D$15+'AA Exact Masses'!$Q$3+'AA Exact Masses'!$Q$2-'Mass Ion Calculations'!$C$12-'Mass Ion Calculations'!$C28)/2-'Mass Ion Calculations'!$D$5,('Mass Ion Calculations'!$F$15+'AA Exact Masses'!$Q$3+'AA Exact Masses'!$Q$2-'Mass Ion Calculations'!$E$12-'Mass Ion Calculations'!$E28)/2-'Mass Ion Calculations'!$D$5)))</f>
        <v/>
      </c>
      <c r="K27" s="3" t="str">
        <f>IF(OR($B27="",K$3=""),"",IF('Mass Ion Calculations'!$D$6="Yes",IF('Mass Ion Calculations'!$D$7="Yes",('Mass Ion Calculations'!$D$18+'AA Exact Masses'!$Q$3+'AA Exact Masses'!$Q$2-'Mass Ion Calculations'!$C$13-'Mass Ion Calculations'!$C28)/2-'Mass Ion Calculations'!$D$5,('Mass Ion Calculations'!$F$18+'AA Exact Masses'!$Q$3+'AA Exact Masses'!$Q$2-'Mass Ion Calculations'!$E$14-'Mass Ion Calculations'!$E28)/2-'Mass Ion Calculations'!$D$5),IF('Mass Ion Calculations'!$D$7="Yes", ('Mass Ion Calculations'!$D$15+'AA Exact Masses'!$Q$3+'AA Exact Masses'!$Q$2-'Mass Ion Calculations'!$C$13-'Mass Ion Calculations'!$C28)/2-'Mass Ion Calculations'!$D$5,('Mass Ion Calculations'!$F$15+'AA Exact Masses'!$Q$3+'AA Exact Masses'!$Q$2-'Mass Ion Calculations'!$E$14-'Mass Ion Calculations'!$E28)/2-'Mass Ion Calculations'!$D$5)))</f>
        <v/>
      </c>
      <c r="L27" s="3" t="str">
        <f>IF(OR($B27="",L$3=""),"",IF('Mass Ion Calculations'!$D$6="Yes",IF('Mass Ion Calculations'!$D$7="Yes",('Mass Ion Calculations'!$D$18+'AA Exact Masses'!$Q$3+'AA Exact Masses'!$Q$2-'Mass Ion Calculations'!$C$14-'Mass Ion Calculations'!$C28)/2-'Mass Ion Calculations'!$D$5,('Mass Ion Calculations'!$F$18+'AA Exact Masses'!$Q$3+'AA Exact Masses'!$Q$2-'Mass Ion Calculations'!$E$15-'Mass Ion Calculations'!$E28)/2-'Mass Ion Calculations'!$D$5),IF('Mass Ion Calculations'!$D$7="Yes", ('Mass Ion Calculations'!$D$15+'AA Exact Masses'!$Q$3+'AA Exact Masses'!$Q$2-'Mass Ion Calculations'!$C$14-'Mass Ion Calculations'!$C28)/2-'Mass Ion Calculations'!$D$5,('Mass Ion Calculations'!$F$15+'AA Exact Masses'!$Q$3+'AA Exact Masses'!$Q$2-'Mass Ion Calculations'!$E$15-'Mass Ion Calculations'!$E28)/2-'Mass Ion Calculations'!$D$5)))</f>
        <v/>
      </c>
      <c r="M27" s="3" t="str">
        <f>IF(OR($B27="",M$3=""),"",IF('Mass Ion Calculations'!$D$6="Yes",IF('Mass Ion Calculations'!$D$7="Yes",('Mass Ion Calculations'!$D$18+'AA Exact Masses'!$Q$3+'AA Exact Masses'!$Q$2-'Mass Ion Calculations'!$C$15-'Mass Ion Calculations'!$C28)/2-'Mass Ion Calculations'!$D$5,('Mass Ion Calculations'!$F$18+'AA Exact Masses'!$Q$3+'AA Exact Masses'!$Q$2-'Mass Ion Calculations'!$E$16-'Mass Ion Calculations'!$E28)/2-'Mass Ion Calculations'!$D$5),IF('Mass Ion Calculations'!$D$7="Yes", ('Mass Ion Calculations'!$D$15+'AA Exact Masses'!$Q$3+'AA Exact Masses'!$Q$2-'Mass Ion Calculations'!$C$15-'Mass Ion Calculations'!$C28)/2-'Mass Ion Calculations'!$D$5,('Mass Ion Calculations'!$F$15+'AA Exact Masses'!$Q$3+'AA Exact Masses'!$Q$2-'Mass Ion Calculations'!$E$16-'Mass Ion Calculations'!$E28)/2-'Mass Ion Calculations'!$D$5)))</f>
        <v/>
      </c>
      <c r="N27" s="3" t="str">
        <f>IF(OR($B27="",N$3=""),"",IF('Mass Ion Calculations'!$D$6="Yes",IF('Mass Ion Calculations'!$D$7="Yes",('Mass Ion Calculations'!$D$18+'AA Exact Masses'!$Q$3+'AA Exact Masses'!$Q$2-'Mass Ion Calculations'!$C$16-'Mass Ion Calculations'!$C28)/2-'Mass Ion Calculations'!$D$5,('Mass Ion Calculations'!$F$18+'AA Exact Masses'!$Q$3+'AA Exact Masses'!$Q$2-'Mass Ion Calculations'!$E$17-'Mass Ion Calculations'!$E28)/2-'Mass Ion Calculations'!$D$5),IF('Mass Ion Calculations'!$D$7="Yes", ('Mass Ion Calculations'!$D$15+'AA Exact Masses'!$Q$3+'AA Exact Masses'!$Q$2-'Mass Ion Calculations'!$C$16-'Mass Ion Calculations'!$C28)/2-'Mass Ion Calculations'!$D$5,('Mass Ion Calculations'!$F$15+'AA Exact Masses'!$Q$3+'AA Exact Masses'!$Q$2-'Mass Ion Calculations'!$E$17-'Mass Ion Calculations'!$E28)/2-'Mass Ion Calculations'!$D$5)))</f>
        <v/>
      </c>
      <c r="O27" s="3" t="str">
        <f>IF(OR($B27="",O$3=""),"",IF('Mass Ion Calculations'!$D$6="Yes",IF('Mass Ion Calculations'!$D$7="Yes",('Mass Ion Calculations'!$D$18+'AA Exact Masses'!$Q$3+'AA Exact Masses'!$Q$2-'Mass Ion Calculations'!$C$17-'Mass Ion Calculations'!$C28)/2-'Mass Ion Calculations'!$D$5,('Mass Ion Calculations'!$F$18+'AA Exact Masses'!$Q$3+'AA Exact Masses'!$Q$2-'Mass Ion Calculations'!$E$18-'Mass Ion Calculations'!$E28)/2-'Mass Ion Calculations'!$D$5),IF('Mass Ion Calculations'!$D$7="Yes", ('Mass Ion Calculations'!$D$15+'AA Exact Masses'!$Q$3+'AA Exact Masses'!$Q$2-'Mass Ion Calculations'!$C$17-'Mass Ion Calculations'!$C28)/2-'Mass Ion Calculations'!$D$5,('Mass Ion Calculations'!$F$15+'AA Exact Masses'!$Q$3+'AA Exact Masses'!$Q$2-'Mass Ion Calculations'!$E$18-'Mass Ion Calculations'!$E28)/2-'Mass Ion Calculations'!$D$5)))</f>
        <v/>
      </c>
      <c r="P27" s="3" t="str">
        <f>IF(OR($B27="",P$3=""),"",IF('Mass Ion Calculations'!$D$6="Yes",IF('Mass Ion Calculations'!$D$7="Yes",('Mass Ion Calculations'!$D$18+'AA Exact Masses'!$Q$3+'AA Exact Masses'!$Q$2-'Mass Ion Calculations'!$C$19-'Mass Ion Calculations'!$C28)/2-'Mass Ion Calculations'!$D$5,('Mass Ion Calculations'!$F$18+'AA Exact Masses'!$Q$3+'AA Exact Masses'!$Q$2-'Mass Ion Calculations'!$E$19-'Mass Ion Calculations'!$E28)/2-'Mass Ion Calculations'!$D$5),IF('Mass Ion Calculations'!$D$7="Yes", ('Mass Ion Calculations'!$D$15+'AA Exact Masses'!$Q$3+'AA Exact Masses'!$Q$2-'Mass Ion Calculations'!$C$19-'Mass Ion Calculations'!$C28)/2-'Mass Ion Calculations'!$D$5,('Mass Ion Calculations'!$F$15+'AA Exact Masses'!$Q$3+'AA Exact Masses'!$Q$2-'Mass Ion Calculations'!$E$19-'Mass Ion Calculations'!$E28)/2-'Mass Ion Calculations'!$D$5)))</f>
        <v/>
      </c>
      <c r="Q27" s="3" t="str">
        <f>IF(OR($B27="",Q$3=""),"",IF('Mass Ion Calculations'!$D$6="Yes",IF('Mass Ion Calculations'!$D$7="Yes",('Mass Ion Calculations'!$D$18+'AA Exact Masses'!$Q$3+'AA Exact Masses'!$Q$2-'Mass Ion Calculations'!$C$20-'Mass Ion Calculations'!$C28)/2-'Mass Ion Calculations'!$D$5,('Mass Ion Calculations'!$F$18+'AA Exact Masses'!$Q$3+'AA Exact Masses'!$Q$2-'Mass Ion Calculations'!$E$20-'Mass Ion Calculations'!$E28)/2-'Mass Ion Calculations'!$D$5),IF('Mass Ion Calculations'!$D$7="Yes", ('Mass Ion Calculations'!$D$15+'AA Exact Masses'!$Q$3+'AA Exact Masses'!$Q$2-'Mass Ion Calculations'!$C$20-'Mass Ion Calculations'!$C28)/2-'Mass Ion Calculations'!$D$5,('Mass Ion Calculations'!$F$15+'AA Exact Masses'!$Q$3+'AA Exact Masses'!$Q$2-'Mass Ion Calculations'!$E$20-'Mass Ion Calculations'!$E28)/2-'Mass Ion Calculations'!$D$5)))</f>
        <v/>
      </c>
      <c r="R27" s="3" t="str">
        <f>IF(OR($B27="",R$3=""),"",IF('Mass Ion Calculations'!$D$6="Yes",IF('Mass Ion Calculations'!$D$7="Yes",('Mass Ion Calculations'!$D$18+'AA Exact Masses'!$Q$3+'AA Exact Masses'!$Q$2-'Mass Ion Calculations'!$C$21-'Mass Ion Calculations'!$C28)/2-'Mass Ion Calculations'!$D$5,('Mass Ion Calculations'!$F$18+'AA Exact Masses'!$Q$3+'AA Exact Masses'!$Q$2-'Mass Ion Calculations'!$E$21-'Mass Ion Calculations'!$E28)/2-'Mass Ion Calculations'!$D$5),IF('Mass Ion Calculations'!$D$7="Yes", ('Mass Ion Calculations'!$D$15+'AA Exact Masses'!$Q$3+'AA Exact Masses'!$Q$2-'Mass Ion Calculations'!$C$21-'Mass Ion Calculations'!$C28)/2-'Mass Ion Calculations'!$D$5,('Mass Ion Calculations'!$F$15+'AA Exact Masses'!$Q$3+'AA Exact Masses'!$Q$2-'Mass Ion Calculations'!$E$21-'Mass Ion Calculations'!$E28)/2-'Mass Ion Calculations'!$D$5)))</f>
        <v/>
      </c>
      <c r="S27" s="3" t="str">
        <f>IF(OR($B27="",S$3=""),"",IF('Mass Ion Calculations'!$D$6="Yes",IF('Mass Ion Calculations'!$D$7="Yes",('Mass Ion Calculations'!$D$18+'AA Exact Masses'!$Q$3+'AA Exact Masses'!$Q$2-'Mass Ion Calculations'!$C$22-'Mass Ion Calculations'!$C28)/2-'Mass Ion Calculations'!$D$5,('Mass Ion Calculations'!$F$18+'AA Exact Masses'!$Q$3+'AA Exact Masses'!$Q$2-'Mass Ion Calculations'!$E$22-'Mass Ion Calculations'!$E28)/2-'Mass Ion Calculations'!$D$5),IF('Mass Ion Calculations'!$D$7="Yes", ('Mass Ion Calculations'!$D$15+'AA Exact Masses'!$Q$3+'AA Exact Masses'!$Q$2-'Mass Ion Calculations'!$C$22-'Mass Ion Calculations'!$C28)/2-'Mass Ion Calculations'!$D$5,('Mass Ion Calculations'!$F$15+'AA Exact Masses'!$Q$3+'AA Exact Masses'!$Q$2-'Mass Ion Calculations'!$E$22-'Mass Ion Calculations'!$E28)/2-'Mass Ion Calculations'!$D$5)))</f>
        <v/>
      </c>
      <c r="T27" s="3" t="str">
        <f>IF(OR($B27="",T$3=""),"",IF('Mass Ion Calculations'!$D$6="Yes",IF('Mass Ion Calculations'!$D$7="Yes",('Mass Ion Calculations'!$D$18+'AA Exact Masses'!$Q$3+'AA Exact Masses'!$Q$2-'Mass Ion Calculations'!$C$22-'Mass Ion Calculations'!$C28)/2-'Mass Ion Calculations'!$D$5,('Mass Ion Calculations'!$F$18+'AA Exact Masses'!$Q$3+'AA Exact Masses'!$Q$2-'Mass Ion Calculations'!$E$22-'Mass Ion Calculations'!$E28)/2-'Mass Ion Calculations'!$D$5),IF('Mass Ion Calculations'!$D$7="Yes", ('Mass Ion Calculations'!$D$15+'AA Exact Masses'!$Q$3+'AA Exact Masses'!$Q$2-'Mass Ion Calculations'!$C$22-'Mass Ion Calculations'!$C28)/2-'Mass Ion Calculations'!$D$5,('Mass Ion Calculations'!$F$15+'AA Exact Masses'!$Q$3+'AA Exact Masses'!$Q$2-'Mass Ion Calculations'!$E$22-'Mass Ion Calculations'!$E28)/2-'Mass Ion Calculations'!$D$5)))</f>
        <v/>
      </c>
      <c r="U27" s="3" t="str">
        <f>IF(OR($B27="",U$3=""),"",IF('Mass Ion Calculations'!$D$6="Yes",IF('Mass Ion Calculations'!$D$7="Yes",('Mass Ion Calculations'!$D$18+'AA Exact Masses'!$Q$3+'AA Exact Masses'!$Q$2-'Mass Ion Calculations'!$C$23-'Mass Ion Calculations'!$C28)/2-'Mass Ion Calculations'!$D$5,('Mass Ion Calculations'!$F$18+'AA Exact Masses'!$Q$3+'AA Exact Masses'!$Q$2-'Mass Ion Calculations'!$E$23-'Mass Ion Calculations'!$E28)/2-'Mass Ion Calculations'!$D$5),IF('Mass Ion Calculations'!$D$7="Yes", ('Mass Ion Calculations'!$D$15+'AA Exact Masses'!$Q$3+'AA Exact Masses'!$Q$2-'Mass Ion Calculations'!$C$23-'Mass Ion Calculations'!$C28)/2-'Mass Ion Calculations'!$D$5,('Mass Ion Calculations'!$F$15+'AA Exact Masses'!$Q$3+'AA Exact Masses'!$Q$2-'Mass Ion Calculations'!$E$23-'Mass Ion Calculations'!$E28)/2-'Mass Ion Calculations'!$D$5)))</f>
        <v/>
      </c>
      <c r="V27" s="3" t="str">
        <f>IF(OR($B27="",V$3=""),"",IF('Mass Ion Calculations'!$D$6="Yes",IF('Mass Ion Calculations'!$D$7="Yes",('Mass Ion Calculations'!$D$18+'AA Exact Masses'!$Q$3+'AA Exact Masses'!$Q$2-'Mass Ion Calculations'!$C$24-'Mass Ion Calculations'!$C28)/2-'Mass Ion Calculations'!$D$5,('Mass Ion Calculations'!$F$18+'AA Exact Masses'!$Q$3+'AA Exact Masses'!$Q$2-'Mass Ion Calculations'!$E$24-'Mass Ion Calculations'!$E28)/2-'Mass Ion Calculations'!$D$5),IF('Mass Ion Calculations'!$D$7="Yes", ('Mass Ion Calculations'!$D$15+'AA Exact Masses'!$Q$3+'AA Exact Masses'!$Q$2-'Mass Ion Calculations'!$C$24-'Mass Ion Calculations'!$C28)/2-'Mass Ion Calculations'!$D$5,('Mass Ion Calculations'!$F$15+'AA Exact Masses'!$Q$3+'AA Exact Masses'!$Q$2-'Mass Ion Calculations'!$E$24-'Mass Ion Calculations'!$E28)/2-'Mass Ion Calculations'!$D$5)))</f>
        <v/>
      </c>
      <c r="W27" s="3" t="str">
        <f>IF(OR($B27="",W$3=""),"",IF('Mass Ion Calculations'!$D$6="Yes",IF('Mass Ion Calculations'!$D$7="Yes",('Mass Ion Calculations'!$D$18+'AA Exact Masses'!$Q$3+'AA Exact Masses'!$Q$2-'Mass Ion Calculations'!$C$25-'Mass Ion Calculations'!$C28)/2-'Mass Ion Calculations'!$D$5,('Mass Ion Calculations'!$F$18+'AA Exact Masses'!$Q$3+'AA Exact Masses'!$Q$2-'Mass Ion Calculations'!$E$25-'Mass Ion Calculations'!$E28)/2-'Mass Ion Calculations'!$D$5),IF('Mass Ion Calculations'!$D$7="Yes", ('Mass Ion Calculations'!$D$15+'AA Exact Masses'!$Q$3+'AA Exact Masses'!$Q$2-'Mass Ion Calculations'!$C$25-'Mass Ion Calculations'!$C28)/2-'Mass Ion Calculations'!$D$5,('Mass Ion Calculations'!$F$15+'AA Exact Masses'!$Q$3+'AA Exact Masses'!$Q$2-'Mass Ion Calculations'!$E$25-'Mass Ion Calculations'!$E28)/2-'Mass Ion Calculations'!$D$5)))</f>
        <v/>
      </c>
      <c r="X27" s="3" t="str">
        <f>IF(OR($B27="",X$3=""),"",IF('Mass Ion Calculations'!$D$6="Yes",IF('Mass Ion Calculations'!$D$7="Yes",('Mass Ion Calculations'!$D$18+'AA Exact Masses'!$Q$3+'AA Exact Masses'!$Q$2-'Mass Ion Calculations'!$C$26-'Mass Ion Calculations'!$C28)/2-'Mass Ion Calculations'!$D$5,('Mass Ion Calculations'!$F$18+'AA Exact Masses'!$Q$3+'AA Exact Masses'!$Q$2-'Mass Ion Calculations'!$E$26-'Mass Ion Calculations'!$E28)/2-'Mass Ion Calculations'!$D$5),IF('Mass Ion Calculations'!$D$7="Yes", ('Mass Ion Calculations'!$D$15+'AA Exact Masses'!$Q$3+'AA Exact Masses'!$Q$2-'Mass Ion Calculations'!$C$26-'Mass Ion Calculations'!$C28)/2-'Mass Ion Calculations'!$D$5,('Mass Ion Calculations'!$F$15+'AA Exact Masses'!$Q$3+'AA Exact Masses'!$Q$2-'Mass Ion Calculations'!$E$26-'Mass Ion Calculations'!$E28)/2-'Mass Ion Calculations'!$D$5)))</f>
        <v/>
      </c>
      <c r="Y27" s="3" t="str">
        <f>IF(OR($B27="",Y$3=""),"",IF('Mass Ion Calculations'!$D$6="Yes",IF('Mass Ion Calculations'!$D$7="Yes",('Mass Ion Calculations'!$D$18+'AA Exact Masses'!$Q$3+'AA Exact Masses'!$Q$2-'Mass Ion Calculations'!$C$27-'Mass Ion Calculations'!$C28)/2-'Mass Ion Calculations'!$D$5,('Mass Ion Calculations'!$F$18+'AA Exact Masses'!$Q$3+'AA Exact Masses'!$Q$2-'Mass Ion Calculations'!$E$27-'Mass Ion Calculations'!$E28)/2-'Mass Ion Calculations'!$D$5),IF('Mass Ion Calculations'!$D$7="Yes", ('Mass Ion Calculations'!$D$15+'AA Exact Masses'!$Q$3+'AA Exact Masses'!$Q$2-'Mass Ion Calculations'!$C$27-'Mass Ion Calculations'!$C28)/2-'Mass Ion Calculations'!$D$5,('Mass Ion Calculations'!$F$15+'AA Exact Masses'!$Q$3+'AA Exact Masses'!$Q$2-'Mass Ion Calculations'!$E$27-'Mass Ion Calculations'!$E28)/2-'Mass Ion Calculations'!$D$5)))</f>
        <v/>
      </c>
      <c r="Z27" s="3" t="str">
        <f>IF(OR($B27="",Z$3=""),"",IF('Mass Ion Calculations'!$D$6="Yes",IF('Mass Ion Calculations'!$D$7="Yes",('Mass Ion Calculations'!$D$18+'AA Exact Masses'!$Q$3+'AA Exact Masses'!$Q$2-'Mass Ion Calculations'!$C$28-'Mass Ion Calculations'!$C28)/2-'Mass Ion Calculations'!$D$5,('Mass Ion Calculations'!$F$18+'AA Exact Masses'!$Q$3+'AA Exact Masses'!$Q$2-'Mass Ion Calculations'!$E$28-'Mass Ion Calculations'!$E28)/2-'Mass Ion Calculations'!$D$5),IF('Mass Ion Calculations'!$D$7="Yes", ('Mass Ion Calculations'!$D$15+'AA Exact Masses'!$Q$3+'AA Exact Masses'!$Q$2-'Mass Ion Calculations'!$C$28-'Mass Ion Calculations'!$C28)/2-'Mass Ion Calculations'!$D$5,('Mass Ion Calculations'!$F$15+'AA Exact Masses'!$Q$3+'AA Exact Masses'!$Q$2-'Mass Ion Calculations'!$E$28-'Mass Ion Calculations'!$E28)/2-'Mass Ion Calculations'!$D$5)))</f>
        <v/>
      </c>
    </row>
    <row r="28" spans="2:26" x14ac:dyDescent="0.25">
      <c r="C28" s="3" t="str">
        <f>IF(OR($B28="",C$3=""),"",IF('Mass Ion Calculations'!$D$6="Yes",IF('Mass Ion Calculations'!$D$7="Yes",('Mass Ion Calculations'!$D$18+'AA Exact Masses'!$Q$3+'AA Exact Masses'!$Q$2-'Mass Ion Calculations'!$C$5-'Mass Ion Calculations'!$C29)/2-'Mass Ion Calculations'!$D$5,('Mass Ion Calculations'!$F$18+'AA Exact Masses'!$Q$3+'AA Exact Masses'!$Q$2-'Mass Ion Calculations'!$E$5-'Mass Ion Calculations'!$E29)/2-'Mass Ion Calculations'!$D$5),IF('Mass Ion Calculations'!$D$7="Yes", ('Mass Ion Calculations'!$D$15+'AA Exact Masses'!$Q$3+'AA Exact Masses'!$Q$2-'Mass Ion Calculations'!$C$5-'Mass Ion Calculations'!$C29)/2-'Mass Ion Calculations'!$D$5,('Mass Ion Calculations'!$F$15+'AA Exact Masses'!$Q$3+'AA Exact Masses'!$Q$2-'Mass Ion Calculations'!$E$5-'Mass Ion Calculations'!$E29)/2-'Mass Ion Calculations'!$D$5)))</f>
        <v/>
      </c>
      <c r="D28" s="3" t="str">
        <f>IF(OR($B28="",D$3=""),"",IF('Mass Ion Calculations'!$D$6="Yes",IF('Mass Ion Calculations'!$D$7="Yes",('Mass Ion Calculations'!$D$18+'AA Exact Masses'!$Q$3+'AA Exact Masses'!$Q$2-'Mass Ion Calculations'!$C$6-'Mass Ion Calculations'!$C29)/2-'Mass Ion Calculations'!$D$5,('Mass Ion Calculations'!$F$18+'AA Exact Masses'!$Q$3+'AA Exact Masses'!$Q$2-'Mass Ion Calculations'!$E$6-'Mass Ion Calculations'!$E29)/2-'Mass Ion Calculations'!$D$5),IF('Mass Ion Calculations'!$D$7="Yes", ('Mass Ion Calculations'!$D$15+'AA Exact Masses'!$Q$3+'AA Exact Masses'!$Q$2-'Mass Ion Calculations'!$C$6-'Mass Ion Calculations'!$C29)/2-'Mass Ion Calculations'!$D$5,('Mass Ion Calculations'!$F$15+'AA Exact Masses'!$Q$3+'AA Exact Masses'!$Q$2-'Mass Ion Calculations'!$E$6-'Mass Ion Calculations'!$E29)/2-'Mass Ion Calculations'!$D$5)))</f>
        <v/>
      </c>
      <c r="E28" s="3" t="str">
        <f>IF(OR($B28="",E$3=""),"",IF('Mass Ion Calculations'!$D$6="Yes",IF('Mass Ion Calculations'!$D$7="Yes",('Mass Ion Calculations'!$D$18+'AA Exact Masses'!$Q$3+'AA Exact Masses'!$Q$2-'Mass Ion Calculations'!$C$7-'Mass Ion Calculations'!$C29)/2-'Mass Ion Calculations'!$D$5,('Mass Ion Calculations'!$F$18+'AA Exact Masses'!$Q$3+'AA Exact Masses'!$Q$2-'Mass Ion Calculations'!$E$7-'Mass Ion Calculations'!$E29)/2-'Mass Ion Calculations'!$D$5),IF('Mass Ion Calculations'!$D$7="Yes", ('Mass Ion Calculations'!$D$15+'AA Exact Masses'!$Q$3+'AA Exact Masses'!$Q$2-'Mass Ion Calculations'!$C$7-'Mass Ion Calculations'!$C29)/2-'Mass Ion Calculations'!$D$5,('Mass Ion Calculations'!$F$15+'AA Exact Masses'!$Q$3+'AA Exact Masses'!$Q$2-'Mass Ion Calculations'!$E$7-'Mass Ion Calculations'!$E29)/2-'Mass Ion Calculations'!$D$5)))</f>
        <v/>
      </c>
      <c r="F28" s="3" t="str">
        <f>IF(OR($B28="",F$3=""),"",IF('Mass Ion Calculations'!$D$6="Yes",IF('Mass Ion Calculations'!$D$7="Yes",('Mass Ion Calculations'!$D$18+'AA Exact Masses'!$Q$3+'AA Exact Masses'!$Q$2-'Mass Ion Calculations'!$C$8-'Mass Ion Calculations'!$C29)/2-'Mass Ion Calculations'!$D$5,('Mass Ion Calculations'!$F$18+'AA Exact Masses'!$Q$3+'AA Exact Masses'!$Q$2-'Mass Ion Calculations'!$E$8-'Mass Ion Calculations'!$E29)/2-'Mass Ion Calculations'!$D$5),IF('Mass Ion Calculations'!$D$7="Yes", ('Mass Ion Calculations'!$D$15+'AA Exact Masses'!$Q$3+'AA Exact Masses'!$Q$2-'Mass Ion Calculations'!$C$8-'Mass Ion Calculations'!$C29)/2-'Mass Ion Calculations'!$D$5,('Mass Ion Calculations'!$F$15+'AA Exact Masses'!$Q$3+'AA Exact Masses'!$Q$2-'Mass Ion Calculations'!$E$8-'Mass Ion Calculations'!$E29)/2-'Mass Ion Calculations'!$D$5)))</f>
        <v/>
      </c>
      <c r="G28" s="3" t="str">
        <f>IF(OR($B28="",G$3=""),"",IF('Mass Ion Calculations'!$D$6="Yes",IF('Mass Ion Calculations'!$D$7="Yes",('Mass Ion Calculations'!$D$18+'AA Exact Masses'!$Q$3+'AA Exact Masses'!$Q$2-'Mass Ion Calculations'!$C$9-'Mass Ion Calculations'!$C29)/2-'Mass Ion Calculations'!$D$5,('Mass Ion Calculations'!$F$18+'AA Exact Masses'!$Q$3+'AA Exact Masses'!$Q$2-'Mass Ion Calculations'!$E$9-'Mass Ion Calculations'!$E29)/2-'Mass Ion Calculations'!$D$5),IF('Mass Ion Calculations'!$D$7="Yes", ('Mass Ion Calculations'!$D$15+'AA Exact Masses'!$Q$3+'AA Exact Masses'!$Q$2-'Mass Ion Calculations'!$C$9-'Mass Ion Calculations'!$C29)/2-'Mass Ion Calculations'!$D$5,('Mass Ion Calculations'!$F$15+'AA Exact Masses'!$Q$3+'AA Exact Masses'!$Q$2-'Mass Ion Calculations'!$E$9-'Mass Ion Calculations'!$E29)/2-'Mass Ion Calculations'!$D$5)))</f>
        <v/>
      </c>
      <c r="H28" s="3" t="str">
        <f>IF(OR($B28="",H$3=""),"",IF('Mass Ion Calculations'!$D$6="Yes",IF('Mass Ion Calculations'!$D$7="Yes",('Mass Ion Calculations'!$D$18+'AA Exact Masses'!$Q$3+'AA Exact Masses'!$Q$2-'Mass Ion Calculations'!$C$10-'Mass Ion Calculations'!$C29)/2-'Mass Ion Calculations'!$D$5,('Mass Ion Calculations'!$F$18+'AA Exact Masses'!$Q$3+'AA Exact Masses'!$Q$2-'Mass Ion Calculations'!$E$10-'Mass Ion Calculations'!$E29)/2-'Mass Ion Calculations'!$D$5),IF('Mass Ion Calculations'!$D$7="Yes", ('Mass Ion Calculations'!$D$15+'AA Exact Masses'!$Q$3+'AA Exact Masses'!$Q$2-'Mass Ion Calculations'!$C$10-'Mass Ion Calculations'!$C29)/2-'Mass Ion Calculations'!$D$5,('Mass Ion Calculations'!$F$15+'AA Exact Masses'!$Q$3+'AA Exact Masses'!$Q$2-'Mass Ion Calculations'!$E$10-'Mass Ion Calculations'!$E29)/2-'Mass Ion Calculations'!$D$5)))</f>
        <v/>
      </c>
      <c r="I28" s="3" t="str">
        <f>IF(OR($B28="",I$3=""),"",IF('Mass Ion Calculations'!$D$6="Yes",IF('Mass Ion Calculations'!$D$7="Yes",('Mass Ion Calculations'!$D$18+'AA Exact Masses'!$Q$3+'AA Exact Masses'!$Q$2-'Mass Ion Calculations'!$C$11-'Mass Ion Calculations'!$C29)/2-'Mass Ion Calculations'!$D$5,('Mass Ion Calculations'!$F$18+'AA Exact Masses'!$Q$3+'AA Exact Masses'!$Q$2-'Mass Ion Calculations'!$E$11-'Mass Ion Calculations'!$E29)/2-'Mass Ion Calculations'!$D$5),IF('Mass Ion Calculations'!$D$7="Yes", ('Mass Ion Calculations'!$D$15+'AA Exact Masses'!$Q$3+'AA Exact Masses'!$Q$2-'Mass Ion Calculations'!$C$11-'Mass Ion Calculations'!$C29)/2-'Mass Ion Calculations'!$D$5,('Mass Ion Calculations'!$F$15+'AA Exact Masses'!$Q$3+'AA Exact Masses'!$Q$2-'Mass Ion Calculations'!$E$11-'Mass Ion Calculations'!$E29)/2-'Mass Ion Calculations'!$D$5)))</f>
        <v/>
      </c>
      <c r="J28" s="3" t="str">
        <f>IF(OR($B28="",J$3=""),"",IF('Mass Ion Calculations'!$D$6="Yes",IF('Mass Ion Calculations'!$D$7="Yes",('Mass Ion Calculations'!$D$18+'AA Exact Masses'!$Q$3+'AA Exact Masses'!$Q$2-'Mass Ion Calculations'!$C$12-'Mass Ion Calculations'!$C29)/2-'Mass Ion Calculations'!$D$5,('Mass Ion Calculations'!$F$18+'AA Exact Masses'!$Q$3+'AA Exact Masses'!$Q$2-'Mass Ion Calculations'!$E$12-'Mass Ion Calculations'!$E29)/2-'Mass Ion Calculations'!$D$5),IF('Mass Ion Calculations'!$D$7="Yes", ('Mass Ion Calculations'!$D$15+'AA Exact Masses'!$Q$3+'AA Exact Masses'!$Q$2-'Mass Ion Calculations'!$C$12-'Mass Ion Calculations'!$C29)/2-'Mass Ion Calculations'!$D$5,('Mass Ion Calculations'!$F$15+'AA Exact Masses'!$Q$3+'AA Exact Masses'!$Q$2-'Mass Ion Calculations'!$E$12-'Mass Ion Calculations'!$E29)/2-'Mass Ion Calculations'!$D$5)))</f>
        <v/>
      </c>
      <c r="K28" s="3" t="str">
        <f>IF(OR($B28="",K$3=""),"",IF('Mass Ion Calculations'!$D$6="Yes",IF('Mass Ion Calculations'!$D$7="Yes",('Mass Ion Calculations'!$D$18+'AA Exact Masses'!$Q$3+'AA Exact Masses'!$Q$2-'Mass Ion Calculations'!$C$13-'Mass Ion Calculations'!$C29)/2-'Mass Ion Calculations'!$D$5,('Mass Ion Calculations'!$F$18+'AA Exact Masses'!$Q$3+'AA Exact Masses'!$Q$2-'Mass Ion Calculations'!$E$14-'Mass Ion Calculations'!$E29)/2-'Mass Ion Calculations'!$D$5),IF('Mass Ion Calculations'!$D$7="Yes", ('Mass Ion Calculations'!$D$15+'AA Exact Masses'!$Q$3+'AA Exact Masses'!$Q$2-'Mass Ion Calculations'!$C$13-'Mass Ion Calculations'!$C29)/2-'Mass Ion Calculations'!$D$5,('Mass Ion Calculations'!$F$15+'AA Exact Masses'!$Q$3+'AA Exact Masses'!$Q$2-'Mass Ion Calculations'!$E$14-'Mass Ion Calculations'!$E29)/2-'Mass Ion Calculations'!$D$5)))</f>
        <v/>
      </c>
      <c r="L28" s="3" t="str">
        <f>IF(OR($B28="",L$3=""),"",IF('Mass Ion Calculations'!$D$6="Yes",IF('Mass Ion Calculations'!$D$7="Yes",('Mass Ion Calculations'!$D$18+'AA Exact Masses'!$Q$3+'AA Exact Masses'!$Q$2-'Mass Ion Calculations'!$C$14-'Mass Ion Calculations'!$C29)/2-'Mass Ion Calculations'!$D$5,('Mass Ion Calculations'!$F$18+'AA Exact Masses'!$Q$3+'AA Exact Masses'!$Q$2-'Mass Ion Calculations'!$E$15-'Mass Ion Calculations'!$E29)/2-'Mass Ion Calculations'!$D$5),IF('Mass Ion Calculations'!$D$7="Yes", ('Mass Ion Calculations'!$D$15+'AA Exact Masses'!$Q$3+'AA Exact Masses'!$Q$2-'Mass Ion Calculations'!$C$14-'Mass Ion Calculations'!$C29)/2-'Mass Ion Calculations'!$D$5,('Mass Ion Calculations'!$F$15+'AA Exact Masses'!$Q$3+'AA Exact Masses'!$Q$2-'Mass Ion Calculations'!$E$15-'Mass Ion Calculations'!$E29)/2-'Mass Ion Calculations'!$D$5)))</f>
        <v/>
      </c>
      <c r="M28" s="3" t="str">
        <f>IF(OR($B28="",M$3=""),"",IF('Mass Ion Calculations'!$D$6="Yes",IF('Mass Ion Calculations'!$D$7="Yes",('Mass Ion Calculations'!$D$18+'AA Exact Masses'!$Q$3+'AA Exact Masses'!$Q$2-'Mass Ion Calculations'!$C$15-'Mass Ion Calculations'!$C29)/2-'Mass Ion Calculations'!$D$5,('Mass Ion Calculations'!$F$18+'AA Exact Masses'!$Q$3+'AA Exact Masses'!$Q$2-'Mass Ion Calculations'!$E$16-'Mass Ion Calculations'!$E29)/2-'Mass Ion Calculations'!$D$5),IF('Mass Ion Calculations'!$D$7="Yes", ('Mass Ion Calculations'!$D$15+'AA Exact Masses'!$Q$3+'AA Exact Masses'!$Q$2-'Mass Ion Calculations'!$C$15-'Mass Ion Calculations'!$C29)/2-'Mass Ion Calculations'!$D$5,('Mass Ion Calculations'!$F$15+'AA Exact Masses'!$Q$3+'AA Exact Masses'!$Q$2-'Mass Ion Calculations'!$E$16-'Mass Ion Calculations'!$E29)/2-'Mass Ion Calculations'!$D$5)))</f>
        <v/>
      </c>
      <c r="N28" s="3" t="str">
        <f>IF(OR($B28="",N$3=""),"",IF('Mass Ion Calculations'!$D$6="Yes",IF('Mass Ion Calculations'!$D$7="Yes",('Mass Ion Calculations'!$D$18+'AA Exact Masses'!$Q$3+'AA Exact Masses'!$Q$2-'Mass Ion Calculations'!$C$16-'Mass Ion Calculations'!$C29)/2-'Mass Ion Calculations'!$D$5,('Mass Ion Calculations'!$F$18+'AA Exact Masses'!$Q$3+'AA Exact Masses'!$Q$2-'Mass Ion Calculations'!$E$17-'Mass Ion Calculations'!$E29)/2-'Mass Ion Calculations'!$D$5),IF('Mass Ion Calculations'!$D$7="Yes", ('Mass Ion Calculations'!$D$15+'AA Exact Masses'!$Q$3+'AA Exact Masses'!$Q$2-'Mass Ion Calculations'!$C$16-'Mass Ion Calculations'!$C29)/2-'Mass Ion Calculations'!$D$5,('Mass Ion Calculations'!$F$15+'AA Exact Masses'!$Q$3+'AA Exact Masses'!$Q$2-'Mass Ion Calculations'!$E$17-'Mass Ion Calculations'!$E29)/2-'Mass Ion Calculations'!$D$5)))</f>
        <v/>
      </c>
      <c r="O28" s="3" t="str">
        <f>IF(OR($B28="",O$3=""),"",IF('Mass Ion Calculations'!$D$6="Yes",IF('Mass Ion Calculations'!$D$7="Yes",('Mass Ion Calculations'!$D$18+'AA Exact Masses'!$Q$3+'AA Exact Masses'!$Q$2-'Mass Ion Calculations'!$C$17-'Mass Ion Calculations'!$C29)/2-'Mass Ion Calculations'!$D$5,('Mass Ion Calculations'!$F$18+'AA Exact Masses'!$Q$3+'AA Exact Masses'!$Q$2-'Mass Ion Calculations'!$E$18-'Mass Ion Calculations'!$E29)/2-'Mass Ion Calculations'!$D$5),IF('Mass Ion Calculations'!$D$7="Yes", ('Mass Ion Calculations'!$D$15+'AA Exact Masses'!$Q$3+'AA Exact Masses'!$Q$2-'Mass Ion Calculations'!$C$17-'Mass Ion Calculations'!$C29)/2-'Mass Ion Calculations'!$D$5,('Mass Ion Calculations'!$F$15+'AA Exact Masses'!$Q$3+'AA Exact Masses'!$Q$2-'Mass Ion Calculations'!$E$18-'Mass Ion Calculations'!$E29)/2-'Mass Ion Calculations'!$D$5)))</f>
        <v/>
      </c>
      <c r="P28" s="3" t="str">
        <f>IF(OR($B28="",P$3=""),"",IF('Mass Ion Calculations'!$D$6="Yes",IF('Mass Ion Calculations'!$D$7="Yes",('Mass Ion Calculations'!$D$18+'AA Exact Masses'!$Q$3+'AA Exact Masses'!$Q$2-'Mass Ion Calculations'!$C$19-'Mass Ion Calculations'!$C29)/2-'Mass Ion Calculations'!$D$5,('Mass Ion Calculations'!$F$18+'AA Exact Masses'!$Q$3+'AA Exact Masses'!$Q$2-'Mass Ion Calculations'!$E$19-'Mass Ion Calculations'!$E29)/2-'Mass Ion Calculations'!$D$5),IF('Mass Ion Calculations'!$D$7="Yes", ('Mass Ion Calculations'!$D$15+'AA Exact Masses'!$Q$3+'AA Exact Masses'!$Q$2-'Mass Ion Calculations'!$C$19-'Mass Ion Calculations'!$C29)/2-'Mass Ion Calculations'!$D$5,('Mass Ion Calculations'!$F$15+'AA Exact Masses'!$Q$3+'AA Exact Masses'!$Q$2-'Mass Ion Calculations'!$E$19-'Mass Ion Calculations'!$E29)/2-'Mass Ion Calculations'!$D$5)))</f>
        <v/>
      </c>
      <c r="Q28" s="3" t="str">
        <f>IF(OR($B28="",Q$3=""),"",IF('Mass Ion Calculations'!$D$6="Yes",IF('Mass Ion Calculations'!$D$7="Yes",('Mass Ion Calculations'!$D$18+'AA Exact Masses'!$Q$3+'AA Exact Masses'!$Q$2-'Mass Ion Calculations'!$C$20-'Mass Ion Calculations'!$C29)/2-'Mass Ion Calculations'!$D$5,('Mass Ion Calculations'!$F$18+'AA Exact Masses'!$Q$3+'AA Exact Masses'!$Q$2-'Mass Ion Calculations'!$E$20-'Mass Ion Calculations'!$E29)/2-'Mass Ion Calculations'!$D$5),IF('Mass Ion Calculations'!$D$7="Yes", ('Mass Ion Calculations'!$D$15+'AA Exact Masses'!$Q$3+'AA Exact Masses'!$Q$2-'Mass Ion Calculations'!$C$20-'Mass Ion Calculations'!$C29)/2-'Mass Ion Calculations'!$D$5,('Mass Ion Calculations'!$F$15+'AA Exact Masses'!$Q$3+'AA Exact Masses'!$Q$2-'Mass Ion Calculations'!$E$20-'Mass Ion Calculations'!$E29)/2-'Mass Ion Calculations'!$D$5)))</f>
        <v/>
      </c>
      <c r="R28" s="3" t="str">
        <f>IF(OR($B28="",R$3=""),"",IF('Mass Ion Calculations'!$D$6="Yes",IF('Mass Ion Calculations'!$D$7="Yes",('Mass Ion Calculations'!$D$18+'AA Exact Masses'!$Q$3+'AA Exact Masses'!$Q$2-'Mass Ion Calculations'!$C$21-'Mass Ion Calculations'!$C29)/2-'Mass Ion Calculations'!$D$5,('Mass Ion Calculations'!$F$18+'AA Exact Masses'!$Q$3+'AA Exact Masses'!$Q$2-'Mass Ion Calculations'!$E$21-'Mass Ion Calculations'!$E29)/2-'Mass Ion Calculations'!$D$5),IF('Mass Ion Calculations'!$D$7="Yes", ('Mass Ion Calculations'!$D$15+'AA Exact Masses'!$Q$3+'AA Exact Masses'!$Q$2-'Mass Ion Calculations'!$C$21-'Mass Ion Calculations'!$C29)/2-'Mass Ion Calculations'!$D$5,('Mass Ion Calculations'!$F$15+'AA Exact Masses'!$Q$3+'AA Exact Masses'!$Q$2-'Mass Ion Calculations'!$E$21-'Mass Ion Calculations'!$E29)/2-'Mass Ion Calculations'!$D$5)))</f>
        <v/>
      </c>
      <c r="S28" s="3" t="str">
        <f>IF(OR($B28="",S$3=""),"",IF('Mass Ion Calculations'!$D$6="Yes",IF('Mass Ion Calculations'!$D$7="Yes",('Mass Ion Calculations'!$D$18+'AA Exact Masses'!$Q$3+'AA Exact Masses'!$Q$2-'Mass Ion Calculations'!$C$22-'Mass Ion Calculations'!$C29)/2-'Mass Ion Calculations'!$D$5,('Mass Ion Calculations'!$F$18+'AA Exact Masses'!$Q$3+'AA Exact Masses'!$Q$2-'Mass Ion Calculations'!$E$22-'Mass Ion Calculations'!$E29)/2-'Mass Ion Calculations'!$D$5),IF('Mass Ion Calculations'!$D$7="Yes", ('Mass Ion Calculations'!$D$15+'AA Exact Masses'!$Q$3+'AA Exact Masses'!$Q$2-'Mass Ion Calculations'!$C$22-'Mass Ion Calculations'!$C29)/2-'Mass Ion Calculations'!$D$5,('Mass Ion Calculations'!$F$15+'AA Exact Masses'!$Q$3+'AA Exact Masses'!$Q$2-'Mass Ion Calculations'!$E$22-'Mass Ion Calculations'!$E29)/2-'Mass Ion Calculations'!$D$5)))</f>
        <v/>
      </c>
      <c r="T28" s="3" t="str">
        <f>IF(OR($B28="",T$3=""),"",IF('Mass Ion Calculations'!$D$6="Yes",IF('Mass Ion Calculations'!$D$7="Yes",('Mass Ion Calculations'!$D$18+'AA Exact Masses'!$Q$3+'AA Exact Masses'!$Q$2-'Mass Ion Calculations'!$C$22-'Mass Ion Calculations'!$C29)/2-'Mass Ion Calculations'!$D$5,('Mass Ion Calculations'!$F$18+'AA Exact Masses'!$Q$3+'AA Exact Masses'!$Q$2-'Mass Ion Calculations'!$E$22-'Mass Ion Calculations'!$E29)/2-'Mass Ion Calculations'!$D$5),IF('Mass Ion Calculations'!$D$7="Yes", ('Mass Ion Calculations'!$D$15+'AA Exact Masses'!$Q$3+'AA Exact Masses'!$Q$2-'Mass Ion Calculations'!$C$22-'Mass Ion Calculations'!$C29)/2-'Mass Ion Calculations'!$D$5,('Mass Ion Calculations'!$F$15+'AA Exact Masses'!$Q$3+'AA Exact Masses'!$Q$2-'Mass Ion Calculations'!$E$22-'Mass Ion Calculations'!$E29)/2-'Mass Ion Calculations'!$D$5)))</f>
        <v/>
      </c>
      <c r="U28" s="3" t="str">
        <f>IF(OR($B28="",U$3=""),"",IF('Mass Ion Calculations'!$D$6="Yes",IF('Mass Ion Calculations'!$D$7="Yes",('Mass Ion Calculations'!$D$18+'AA Exact Masses'!$Q$3+'AA Exact Masses'!$Q$2-'Mass Ion Calculations'!$C$23-'Mass Ion Calculations'!$C29)/2-'Mass Ion Calculations'!$D$5,('Mass Ion Calculations'!$F$18+'AA Exact Masses'!$Q$3+'AA Exact Masses'!$Q$2-'Mass Ion Calculations'!$E$23-'Mass Ion Calculations'!$E29)/2-'Mass Ion Calculations'!$D$5),IF('Mass Ion Calculations'!$D$7="Yes", ('Mass Ion Calculations'!$D$15+'AA Exact Masses'!$Q$3+'AA Exact Masses'!$Q$2-'Mass Ion Calculations'!$C$23-'Mass Ion Calculations'!$C29)/2-'Mass Ion Calculations'!$D$5,('Mass Ion Calculations'!$F$15+'AA Exact Masses'!$Q$3+'AA Exact Masses'!$Q$2-'Mass Ion Calculations'!$E$23-'Mass Ion Calculations'!$E29)/2-'Mass Ion Calculations'!$D$5)))</f>
        <v/>
      </c>
      <c r="V28" s="3" t="str">
        <f>IF(OR($B28="",V$3=""),"",IF('Mass Ion Calculations'!$D$6="Yes",IF('Mass Ion Calculations'!$D$7="Yes",('Mass Ion Calculations'!$D$18+'AA Exact Masses'!$Q$3+'AA Exact Masses'!$Q$2-'Mass Ion Calculations'!$C$24-'Mass Ion Calculations'!$C29)/2-'Mass Ion Calculations'!$D$5,('Mass Ion Calculations'!$F$18+'AA Exact Masses'!$Q$3+'AA Exact Masses'!$Q$2-'Mass Ion Calculations'!$E$24-'Mass Ion Calculations'!$E29)/2-'Mass Ion Calculations'!$D$5),IF('Mass Ion Calculations'!$D$7="Yes", ('Mass Ion Calculations'!$D$15+'AA Exact Masses'!$Q$3+'AA Exact Masses'!$Q$2-'Mass Ion Calculations'!$C$24-'Mass Ion Calculations'!$C29)/2-'Mass Ion Calculations'!$D$5,('Mass Ion Calculations'!$F$15+'AA Exact Masses'!$Q$3+'AA Exact Masses'!$Q$2-'Mass Ion Calculations'!$E$24-'Mass Ion Calculations'!$E29)/2-'Mass Ion Calculations'!$D$5)))</f>
        <v/>
      </c>
      <c r="W28" s="3" t="str">
        <f>IF(OR($B28="",W$3=""),"",IF('Mass Ion Calculations'!$D$6="Yes",IF('Mass Ion Calculations'!$D$7="Yes",('Mass Ion Calculations'!$D$18+'AA Exact Masses'!$Q$3+'AA Exact Masses'!$Q$2-'Mass Ion Calculations'!$C$25-'Mass Ion Calculations'!$C29)/2-'Mass Ion Calculations'!$D$5,('Mass Ion Calculations'!$F$18+'AA Exact Masses'!$Q$3+'AA Exact Masses'!$Q$2-'Mass Ion Calculations'!$E$25-'Mass Ion Calculations'!$E29)/2-'Mass Ion Calculations'!$D$5),IF('Mass Ion Calculations'!$D$7="Yes", ('Mass Ion Calculations'!$D$15+'AA Exact Masses'!$Q$3+'AA Exact Masses'!$Q$2-'Mass Ion Calculations'!$C$25-'Mass Ion Calculations'!$C29)/2-'Mass Ion Calculations'!$D$5,('Mass Ion Calculations'!$F$15+'AA Exact Masses'!$Q$3+'AA Exact Masses'!$Q$2-'Mass Ion Calculations'!$E$25-'Mass Ion Calculations'!$E29)/2-'Mass Ion Calculations'!$D$5)))</f>
        <v/>
      </c>
      <c r="X28" s="3" t="str">
        <f>IF(OR($B28="",X$3=""),"",IF('Mass Ion Calculations'!$D$6="Yes",IF('Mass Ion Calculations'!$D$7="Yes",('Mass Ion Calculations'!$D$18+'AA Exact Masses'!$Q$3+'AA Exact Masses'!$Q$2-'Mass Ion Calculations'!$C$26-'Mass Ion Calculations'!$C29)/2-'Mass Ion Calculations'!$D$5,('Mass Ion Calculations'!$F$18+'AA Exact Masses'!$Q$3+'AA Exact Masses'!$Q$2-'Mass Ion Calculations'!$E$26-'Mass Ion Calculations'!$E29)/2-'Mass Ion Calculations'!$D$5),IF('Mass Ion Calculations'!$D$7="Yes", ('Mass Ion Calculations'!$D$15+'AA Exact Masses'!$Q$3+'AA Exact Masses'!$Q$2-'Mass Ion Calculations'!$C$26-'Mass Ion Calculations'!$C29)/2-'Mass Ion Calculations'!$D$5,('Mass Ion Calculations'!$F$15+'AA Exact Masses'!$Q$3+'AA Exact Masses'!$Q$2-'Mass Ion Calculations'!$E$26-'Mass Ion Calculations'!$E29)/2-'Mass Ion Calculations'!$D$5)))</f>
        <v/>
      </c>
      <c r="Y28" s="3" t="str">
        <f>IF(OR($B28="",Y$3=""),"",IF('Mass Ion Calculations'!$D$6="Yes",IF('Mass Ion Calculations'!$D$7="Yes",('Mass Ion Calculations'!$D$18+'AA Exact Masses'!$Q$3+'AA Exact Masses'!$Q$2-'Mass Ion Calculations'!$C$27-'Mass Ion Calculations'!$C29)/2-'Mass Ion Calculations'!$D$5,('Mass Ion Calculations'!$F$18+'AA Exact Masses'!$Q$3+'AA Exact Masses'!$Q$2-'Mass Ion Calculations'!$E$27-'Mass Ion Calculations'!$E29)/2-'Mass Ion Calculations'!$D$5),IF('Mass Ion Calculations'!$D$7="Yes", ('Mass Ion Calculations'!$D$15+'AA Exact Masses'!$Q$3+'AA Exact Masses'!$Q$2-'Mass Ion Calculations'!$C$27-'Mass Ion Calculations'!$C29)/2-'Mass Ion Calculations'!$D$5,('Mass Ion Calculations'!$F$15+'AA Exact Masses'!$Q$3+'AA Exact Masses'!$Q$2-'Mass Ion Calculations'!$E$27-'Mass Ion Calculations'!$E29)/2-'Mass Ion Calculations'!$D$5)))</f>
        <v/>
      </c>
      <c r="Z28" s="3" t="str">
        <f>IF(OR($B28="",Z$3=""),"",IF('Mass Ion Calculations'!$D$6="Yes",IF('Mass Ion Calculations'!$D$7="Yes",('Mass Ion Calculations'!$D$18+'AA Exact Masses'!$Q$3+'AA Exact Masses'!$Q$2-'Mass Ion Calculations'!$C$28-'Mass Ion Calculations'!$C29)/2-'Mass Ion Calculations'!$D$5,('Mass Ion Calculations'!$F$18+'AA Exact Masses'!$Q$3+'AA Exact Masses'!$Q$2-'Mass Ion Calculations'!$E$28-'Mass Ion Calculations'!$E29)/2-'Mass Ion Calculations'!$D$5),IF('Mass Ion Calculations'!$D$7="Yes", ('Mass Ion Calculations'!$D$15+'AA Exact Masses'!$Q$3+'AA Exact Masses'!$Q$2-'Mass Ion Calculations'!$C$28-'Mass Ion Calculations'!$C29)/2-'Mass Ion Calculations'!$D$5,('Mass Ion Calculations'!$F$15+'AA Exact Masses'!$Q$3+'AA Exact Masses'!$Q$2-'Mass Ion Calculations'!$E$28-'Mass Ion Calculations'!$E29)/2-'Mass Ion Calculations'!$D$5)))</f>
        <v/>
      </c>
    </row>
    <row r="29" spans="2:26" x14ac:dyDescent="0.25">
      <c r="C29" s="3" t="str">
        <f>IF(OR($B29="",C$3=""),"",IF('Mass Ion Calculations'!$D$6="Yes",IF('Mass Ion Calculations'!$D$7="Yes",('Mass Ion Calculations'!$D$18+'AA Exact Masses'!$Q$3+'AA Exact Masses'!$Q$2-'Mass Ion Calculations'!$C$5-'Mass Ion Calculations'!$C30)/2-'Mass Ion Calculations'!$D$5,('Mass Ion Calculations'!$F$18+'AA Exact Masses'!$Q$3+'AA Exact Masses'!$Q$2-'Mass Ion Calculations'!$E$5-'Mass Ion Calculations'!$E30)/2-'Mass Ion Calculations'!$D$5),IF('Mass Ion Calculations'!$D$7="Yes", ('Mass Ion Calculations'!$D$15+'AA Exact Masses'!$Q$3+'AA Exact Masses'!$Q$2-'Mass Ion Calculations'!$C$5-'Mass Ion Calculations'!$C30)/2-'Mass Ion Calculations'!$D$5,('Mass Ion Calculations'!$F$15+'AA Exact Masses'!$Q$3+'AA Exact Masses'!$Q$2-'Mass Ion Calculations'!$E$5-'Mass Ion Calculations'!$E30)/2-'Mass Ion Calculations'!$D$5)))</f>
        <v/>
      </c>
      <c r="D29" s="3" t="str">
        <f>IF(OR($B29="",D$3=""),"",IF('Mass Ion Calculations'!$D$6="Yes",IF('Mass Ion Calculations'!$D$7="Yes",('Mass Ion Calculations'!$D$18+'AA Exact Masses'!$Q$3+'AA Exact Masses'!$Q$2-'Mass Ion Calculations'!$C$6-'Mass Ion Calculations'!$C30)/2-'Mass Ion Calculations'!$D$5,('Mass Ion Calculations'!$F$18+'AA Exact Masses'!$Q$3+'AA Exact Masses'!$Q$2-'Mass Ion Calculations'!$E$6-'Mass Ion Calculations'!$E30)/2-'Mass Ion Calculations'!$D$5),IF('Mass Ion Calculations'!$D$7="Yes", ('Mass Ion Calculations'!$D$15+'AA Exact Masses'!$Q$3+'AA Exact Masses'!$Q$2-'Mass Ion Calculations'!$C$6-'Mass Ion Calculations'!$C30)/2-'Mass Ion Calculations'!$D$5,('Mass Ion Calculations'!$F$15+'AA Exact Masses'!$Q$3+'AA Exact Masses'!$Q$2-'Mass Ion Calculations'!$E$6-'Mass Ion Calculations'!$E30)/2-'Mass Ion Calculations'!$D$5)))</f>
        <v/>
      </c>
      <c r="E29" s="3" t="str">
        <f>IF(OR($B29="",E$3=""),"",IF('Mass Ion Calculations'!$D$6="Yes",IF('Mass Ion Calculations'!$D$7="Yes",('Mass Ion Calculations'!$D$18+'AA Exact Masses'!$Q$3+'AA Exact Masses'!$Q$2-'Mass Ion Calculations'!$C$7-'Mass Ion Calculations'!$C30)/2-'Mass Ion Calculations'!$D$5,('Mass Ion Calculations'!$F$18+'AA Exact Masses'!$Q$3+'AA Exact Masses'!$Q$2-'Mass Ion Calculations'!$E$7-'Mass Ion Calculations'!$E30)/2-'Mass Ion Calculations'!$D$5),IF('Mass Ion Calculations'!$D$7="Yes", ('Mass Ion Calculations'!$D$15+'AA Exact Masses'!$Q$3+'AA Exact Masses'!$Q$2-'Mass Ion Calculations'!$C$7-'Mass Ion Calculations'!$C30)/2-'Mass Ion Calculations'!$D$5,('Mass Ion Calculations'!$F$15+'AA Exact Masses'!$Q$3+'AA Exact Masses'!$Q$2-'Mass Ion Calculations'!$E$7-'Mass Ion Calculations'!$E30)/2-'Mass Ion Calculations'!$D$5)))</f>
        <v/>
      </c>
      <c r="F29" s="3" t="str">
        <f>IF(OR($B29="",F$3=""),"",IF('Mass Ion Calculations'!$D$6="Yes",IF('Mass Ion Calculations'!$D$7="Yes",('Mass Ion Calculations'!$D$18+'AA Exact Masses'!$Q$3+'AA Exact Masses'!$Q$2-'Mass Ion Calculations'!$C$8-'Mass Ion Calculations'!$C30)/2-'Mass Ion Calculations'!$D$5,('Mass Ion Calculations'!$F$18+'AA Exact Masses'!$Q$3+'AA Exact Masses'!$Q$2-'Mass Ion Calculations'!$E$8-'Mass Ion Calculations'!$E30)/2-'Mass Ion Calculations'!$D$5),IF('Mass Ion Calculations'!$D$7="Yes", ('Mass Ion Calculations'!$D$15+'AA Exact Masses'!$Q$3+'AA Exact Masses'!$Q$2-'Mass Ion Calculations'!$C$8-'Mass Ion Calculations'!$C30)/2-'Mass Ion Calculations'!$D$5,('Mass Ion Calculations'!$F$15+'AA Exact Masses'!$Q$3+'AA Exact Masses'!$Q$2-'Mass Ion Calculations'!$E$8-'Mass Ion Calculations'!$E30)/2-'Mass Ion Calculations'!$D$5)))</f>
        <v/>
      </c>
      <c r="G29" s="3" t="str">
        <f>IF(OR($B29="",G$3=""),"",IF('Mass Ion Calculations'!$D$6="Yes",IF('Mass Ion Calculations'!$D$7="Yes",('Mass Ion Calculations'!$D$18+'AA Exact Masses'!$Q$3+'AA Exact Masses'!$Q$2-'Mass Ion Calculations'!$C$9-'Mass Ion Calculations'!$C30)/2-'Mass Ion Calculations'!$D$5,('Mass Ion Calculations'!$F$18+'AA Exact Masses'!$Q$3+'AA Exact Masses'!$Q$2-'Mass Ion Calculations'!$E$9-'Mass Ion Calculations'!$E30)/2-'Mass Ion Calculations'!$D$5),IF('Mass Ion Calculations'!$D$7="Yes", ('Mass Ion Calculations'!$D$15+'AA Exact Masses'!$Q$3+'AA Exact Masses'!$Q$2-'Mass Ion Calculations'!$C$9-'Mass Ion Calculations'!$C30)/2-'Mass Ion Calculations'!$D$5,('Mass Ion Calculations'!$F$15+'AA Exact Masses'!$Q$3+'AA Exact Masses'!$Q$2-'Mass Ion Calculations'!$E$9-'Mass Ion Calculations'!$E30)/2-'Mass Ion Calculations'!$D$5)))</f>
        <v/>
      </c>
      <c r="H29" s="3" t="str">
        <f>IF(OR($B29="",H$3=""),"",IF('Mass Ion Calculations'!$D$6="Yes",IF('Mass Ion Calculations'!$D$7="Yes",('Mass Ion Calculations'!$D$18+'AA Exact Masses'!$Q$3+'AA Exact Masses'!$Q$2-'Mass Ion Calculations'!$C$10-'Mass Ion Calculations'!$C30)/2-'Mass Ion Calculations'!$D$5,('Mass Ion Calculations'!$F$18+'AA Exact Masses'!$Q$3+'AA Exact Masses'!$Q$2-'Mass Ion Calculations'!$E$10-'Mass Ion Calculations'!$E30)/2-'Mass Ion Calculations'!$D$5),IF('Mass Ion Calculations'!$D$7="Yes", ('Mass Ion Calculations'!$D$15+'AA Exact Masses'!$Q$3+'AA Exact Masses'!$Q$2-'Mass Ion Calculations'!$C$10-'Mass Ion Calculations'!$C30)/2-'Mass Ion Calculations'!$D$5,('Mass Ion Calculations'!$F$15+'AA Exact Masses'!$Q$3+'AA Exact Masses'!$Q$2-'Mass Ion Calculations'!$E$10-'Mass Ion Calculations'!$E30)/2-'Mass Ion Calculations'!$D$5)))</f>
        <v/>
      </c>
      <c r="I29" s="3" t="str">
        <f>IF(OR($B29="",I$3=""),"",IF('Mass Ion Calculations'!$D$6="Yes",IF('Mass Ion Calculations'!$D$7="Yes",('Mass Ion Calculations'!$D$18+'AA Exact Masses'!$Q$3+'AA Exact Masses'!$Q$2-'Mass Ion Calculations'!$C$11-'Mass Ion Calculations'!$C30)/2-'Mass Ion Calculations'!$D$5,('Mass Ion Calculations'!$F$18+'AA Exact Masses'!$Q$3+'AA Exact Masses'!$Q$2-'Mass Ion Calculations'!$E$11-'Mass Ion Calculations'!$E30)/2-'Mass Ion Calculations'!$D$5),IF('Mass Ion Calculations'!$D$7="Yes", ('Mass Ion Calculations'!$D$15+'AA Exact Masses'!$Q$3+'AA Exact Masses'!$Q$2-'Mass Ion Calculations'!$C$11-'Mass Ion Calculations'!$C30)/2-'Mass Ion Calculations'!$D$5,('Mass Ion Calculations'!$F$15+'AA Exact Masses'!$Q$3+'AA Exact Masses'!$Q$2-'Mass Ion Calculations'!$E$11-'Mass Ion Calculations'!$E30)/2-'Mass Ion Calculations'!$D$5)))</f>
        <v/>
      </c>
      <c r="J29" s="3" t="str">
        <f>IF(OR($B29="",J$3=""),"",IF('Mass Ion Calculations'!$D$6="Yes",IF('Mass Ion Calculations'!$D$7="Yes",('Mass Ion Calculations'!$D$18+'AA Exact Masses'!$Q$3+'AA Exact Masses'!$Q$2-'Mass Ion Calculations'!$C$12-'Mass Ion Calculations'!$C30)/2-'Mass Ion Calculations'!$D$5,('Mass Ion Calculations'!$F$18+'AA Exact Masses'!$Q$3+'AA Exact Masses'!$Q$2-'Mass Ion Calculations'!$E$12-'Mass Ion Calculations'!$E30)/2-'Mass Ion Calculations'!$D$5),IF('Mass Ion Calculations'!$D$7="Yes", ('Mass Ion Calculations'!$D$15+'AA Exact Masses'!$Q$3+'AA Exact Masses'!$Q$2-'Mass Ion Calculations'!$C$12-'Mass Ion Calculations'!$C30)/2-'Mass Ion Calculations'!$D$5,('Mass Ion Calculations'!$F$15+'AA Exact Masses'!$Q$3+'AA Exact Masses'!$Q$2-'Mass Ion Calculations'!$E$12-'Mass Ion Calculations'!$E30)/2-'Mass Ion Calculations'!$D$5)))</f>
        <v/>
      </c>
      <c r="K29" s="3" t="str">
        <f>IF(OR($B29="",K$3=""),"",IF('Mass Ion Calculations'!$D$6="Yes",IF('Mass Ion Calculations'!$D$7="Yes",('Mass Ion Calculations'!$D$18+'AA Exact Masses'!$Q$3+'AA Exact Masses'!$Q$2-'Mass Ion Calculations'!$C$13-'Mass Ion Calculations'!$C30)/2-'Mass Ion Calculations'!$D$5,('Mass Ion Calculations'!$F$18+'AA Exact Masses'!$Q$3+'AA Exact Masses'!$Q$2-'Mass Ion Calculations'!$E$14-'Mass Ion Calculations'!$E30)/2-'Mass Ion Calculations'!$D$5),IF('Mass Ion Calculations'!$D$7="Yes", ('Mass Ion Calculations'!$D$15+'AA Exact Masses'!$Q$3+'AA Exact Masses'!$Q$2-'Mass Ion Calculations'!$C$13-'Mass Ion Calculations'!$C30)/2-'Mass Ion Calculations'!$D$5,('Mass Ion Calculations'!$F$15+'AA Exact Masses'!$Q$3+'AA Exact Masses'!$Q$2-'Mass Ion Calculations'!$E$14-'Mass Ion Calculations'!$E30)/2-'Mass Ion Calculations'!$D$5)))</f>
        <v/>
      </c>
      <c r="L29" s="3" t="str">
        <f>IF(OR($B29="",L$3=""),"",IF('Mass Ion Calculations'!$D$6="Yes",IF('Mass Ion Calculations'!$D$7="Yes",('Mass Ion Calculations'!$D$18+'AA Exact Masses'!$Q$3+'AA Exact Masses'!$Q$2-'Mass Ion Calculations'!$C$14-'Mass Ion Calculations'!$C30)/2-'Mass Ion Calculations'!$D$5,('Mass Ion Calculations'!$F$18+'AA Exact Masses'!$Q$3+'AA Exact Masses'!$Q$2-'Mass Ion Calculations'!$E$15-'Mass Ion Calculations'!$E30)/2-'Mass Ion Calculations'!$D$5),IF('Mass Ion Calculations'!$D$7="Yes", ('Mass Ion Calculations'!$D$15+'AA Exact Masses'!$Q$3+'AA Exact Masses'!$Q$2-'Mass Ion Calculations'!$C$14-'Mass Ion Calculations'!$C30)/2-'Mass Ion Calculations'!$D$5,('Mass Ion Calculations'!$F$15+'AA Exact Masses'!$Q$3+'AA Exact Masses'!$Q$2-'Mass Ion Calculations'!$E$15-'Mass Ion Calculations'!$E30)/2-'Mass Ion Calculations'!$D$5)))</f>
        <v/>
      </c>
      <c r="M29" s="3" t="str">
        <f>IF(OR($B29="",M$3=""),"",IF('Mass Ion Calculations'!$D$6="Yes",IF('Mass Ion Calculations'!$D$7="Yes",('Mass Ion Calculations'!$D$18+'AA Exact Masses'!$Q$3+'AA Exact Masses'!$Q$2-'Mass Ion Calculations'!$C$15-'Mass Ion Calculations'!$C30)/2-'Mass Ion Calculations'!$D$5,('Mass Ion Calculations'!$F$18+'AA Exact Masses'!$Q$3+'AA Exact Masses'!$Q$2-'Mass Ion Calculations'!$E$16-'Mass Ion Calculations'!$E30)/2-'Mass Ion Calculations'!$D$5),IF('Mass Ion Calculations'!$D$7="Yes", ('Mass Ion Calculations'!$D$15+'AA Exact Masses'!$Q$3+'AA Exact Masses'!$Q$2-'Mass Ion Calculations'!$C$15-'Mass Ion Calculations'!$C30)/2-'Mass Ion Calculations'!$D$5,('Mass Ion Calculations'!$F$15+'AA Exact Masses'!$Q$3+'AA Exact Masses'!$Q$2-'Mass Ion Calculations'!$E$16-'Mass Ion Calculations'!$E30)/2-'Mass Ion Calculations'!$D$5)))</f>
        <v/>
      </c>
      <c r="N29" s="3" t="str">
        <f>IF(OR($B29="",N$3=""),"",IF('Mass Ion Calculations'!$D$6="Yes",IF('Mass Ion Calculations'!$D$7="Yes",('Mass Ion Calculations'!$D$18+'AA Exact Masses'!$Q$3+'AA Exact Masses'!$Q$2-'Mass Ion Calculations'!$C$16-'Mass Ion Calculations'!$C30)/2-'Mass Ion Calculations'!$D$5,('Mass Ion Calculations'!$F$18+'AA Exact Masses'!$Q$3+'AA Exact Masses'!$Q$2-'Mass Ion Calculations'!$E$17-'Mass Ion Calculations'!$E30)/2-'Mass Ion Calculations'!$D$5),IF('Mass Ion Calculations'!$D$7="Yes", ('Mass Ion Calculations'!$D$15+'AA Exact Masses'!$Q$3+'AA Exact Masses'!$Q$2-'Mass Ion Calculations'!$C$16-'Mass Ion Calculations'!$C30)/2-'Mass Ion Calculations'!$D$5,('Mass Ion Calculations'!$F$15+'AA Exact Masses'!$Q$3+'AA Exact Masses'!$Q$2-'Mass Ion Calculations'!$E$17-'Mass Ion Calculations'!$E30)/2-'Mass Ion Calculations'!$D$5)))</f>
        <v/>
      </c>
      <c r="O29" s="3" t="str">
        <f>IF(OR($B29="",O$3=""),"",IF('Mass Ion Calculations'!$D$6="Yes",IF('Mass Ion Calculations'!$D$7="Yes",('Mass Ion Calculations'!$D$18+'AA Exact Masses'!$Q$3+'AA Exact Masses'!$Q$2-'Mass Ion Calculations'!$C$17-'Mass Ion Calculations'!$C30)/2-'Mass Ion Calculations'!$D$5,('Mass Ion Calculations'!$F$18+'AA Exact Masses'!$Q$3+'AA Exact Masses'!$Q$2-'Mass Ion Calculations'!$E$18-'Mass Ion Calculations'!$E30)/2-'Mass Ion Calculations'!$D$5),IF('Mass Ion Calculations'!$D$7="Yes", ('Mass Ion Calculations'!$D$15+'AA Exact Masses'!$Q$3+'AA Exact Masses'!$Q$2-'Mass Ion Calculations'!$C$17-'Mass Ion Calculations'!$C30)/2-'Mass Ion Calculations'!$D$5,('Mass Ion Calculations'!$F$15+'AA Exact Masses'!$Q$3+'AA Exact Masses'!$Q$2-'Mass Ion Calculations'!$E$18-'Mass Ion Calculations'!$E30)/2-'Mass Ion Calculations'!$D$5)))</f>
        <v/>
      </c>
      <c r="P29" s="3" t="str">
        <f>IF(OR($B29="",P$3=""),"",IF('Mass Ion Calculations'!$D$6="Yes",IF('Mass Ion Calculations'!$D$7="Yes",('Mass Ion Calculations'!$D$18+'AA Exact Masses'!$Q$3+'AA Exact Masses'!$Q$2-'Mass Ion Calculations'!$C$19-'Mass Ion Calculations'!$C30)/2-'Mass Ion Calculations'!$D$5,('Mass Ion Calculations'!$F$18+'AA Exact Masses'!$Q$3+'AA Exact Masses'!$Q$2-'Mass Ion Calculations'!$E$19-'Mass Ion Calculations'!$E30)/2-'Mass Ion Calculations'!$D$5),IF('Mass Ion Calculations'!$D$7="Yes", ('Mass Ion Calculations'!$D$15+'AA Exact Masses'!$Q$3+'AA Exact Masses'!$Q$2-'Mass Ion Calculations'!$C$19-'Mass Ion Calculations'!$C30)/2-'Mass Ion Calculations'!$D$5,('Mass Ion Calculations'!$F$15+'AA Exact Masses'!$Q$3+'AA Exact Masses'!$Q$2-'Mass Ion Calculations'!$E$19-'Mass Ion Calculations'!$E30)/2-'Mass Ion Calculations'!$D$5)))</f>
        <v/>
      </c>
      <c r="Q29" s="3" t="str">
        <f>IF(OR($B29="",Q$3=""),"",IF('Mass Ion Calculations'!$D$6="Yes",IF('Mass Ion Calculations'!$D$7="Yes",('Mass Ion Calculations'!$D$18+'AA Exact Masses'!$Q$3+'AA Exact Masses'!$Q$2-'Mass Ion Calculations'!$C$20-'Mass Ion Calculations'!$C30)/2-'Mass Ion Calculations'!$D$5,('Mass Ion Calculations'!$F$18+'AA Exact Masses'!$Q$3+'AA Exact Masses'!$Q$2-'Mass Ion Calculations'!$E$20-'Mass Ion Calculations'!$E30)/2-'Mass Ion Calculations'!$D$5),IF('Mass Ion Calculations'!$D$7="Yes", ('Mass Ion Calculations'!$D$15+'AA Exact Masses'!$Q$3+'AA Exact Masses'!$Q$2-'Mass Ion Calculations'!$C$20-'Mass Ion Calculations'!$C30)/2-'Mass Ion Calculations'!$D$5,('Mass Ion Calculations'!$F$15+'AA Exact Masses'!$Q$3+'AA Exact Masses'!$Q$2-'Mass Ion Calculations'!$E$20-'Mass Ion Calculations'!$E30)/2-'Mass Ion Calculations'!$D$5)))</f>
        <v/>
      </c>
      <c r="R29" s="3" t="str">
        <f>IF(OR($B29="",R$3=""),"",IF('Mass Ion Calculations'!$D$6="Yes",IF('Mass Ion Calculations'!$D$7="Yes",('Mass Ion Calculations'!$D$18+'AA Exact Masses'!$Q$3+'AA Exact Masses'!$Q$2-'Mass Ion Calculations'!$C$21-'Mass Ion Calculations'!$C30)/2-'Mass Ion Calculations'!$D$5,('Mass Ion Calculations'!$F$18+'AA Exact Masses'!$Q$3+'AA Exact Masses'!$Q$2-'Mass Ion Calculations'!$E$21-'Mass Ion Calculations'!$E30)/2-'Mass Ion Calculations'!$D$5),IF('Mass Ion Calculations'!$D$7="Yes", ('Mass Ion Calculations'!$D$15+'AA Exact Masses'!$Q$3+'AA Exact Masses'!$Q$2-'Mass Ion Calculations'!$C$21-'Mass Ion Calculations'!$C30)/2-'Mass Ion Calculations'!$D$5,('Mass Ion Calculations'!$F$15+'AA Exact Masses'!$Q$3+'AA Exact Masses'!$Q$2-'Mass Ion Calculations'!$E$21-'Mass Ion Calculations'!$E30)/2-'Mass Ion Calculations'!$D$5)))</f>
        <v/>
      </c>
      <c r="S29" s="3" t="str">
        <f>IF(OR($B29="",S$3=""),"",IF('Mass Ion Calculations'!$D$6="Yes",IF('Mass Ion Calculations'!$D$7="Yes",('Mass Ion Calculations'!$D$18+'AA Exact Masses'!$Q$3+'AA Exact Masses'!$Q$2-'Mass Ion Calculations'!$C$22-'Mass Ion Calculations'!$C30)/2-'Mass Ion Calculations'!$D$5,('Mass Ion Calculations'!$F$18+'AA Exact Masses'!$Q$3+'AA Exact Masses'!$Q$2-'Mass Ion Calculations'!$E$22-'Mass Ion Calculations'!$E30)/2-'Mass Ion Calculations'!$D$5),IF('Mass Ion Calculations'!$D$7="Yes", ('Mass Ion Calculations'!$D$15+'AA Exact Masses'!$Q$3+'AA Exact Masses'!$Q$2-'Mass Ion Calculations'!$C$22-'Mass Ion Calculations'!$C30)/2-'Mass Ion Calculations'!$D$5,('Mass Ion Calculations'!$F$15+'AA Exact Masses'!$Q$3+'AA Exact Masses'!$Q$2-'Mass Ion Calculations'!$E$22-'Mass Ion Calculations'!$E30)/2-'Mass Ion Calculations'!$D$5)))</f>
        <v/>
      </c>
      <c r="T29" s="3" t="str">
        <f>IF(OR($B29="",T$3=""),"",IF('Mass Ion Calculations'!$D$6="Yes",IF('Mass Ion Calculations'!$D$7="Yes",('Mass Ion Calculations'!$D$18+'AA Exact Masses'!$Q$3+'AA Exact Masses'!$Q$2-'Mass Ion Calculations'!$C$22-'Mass Ion Calculations'!$C30)/2-'Mass Ion Calculations'!$D$5,('Mass Ion Calculations'!$F$18+'AA Exact Masses'!$Q$3+'AA Exact Masses'!$Q$2-'Mass Ion Calculations'!$E$22-'Mass Ion Calculations'!$E30)/2-'Mass Ion Calculations'!$D$5),IF('Mass Ion Calculations'!$D$7="Yes", ('Mass Ion Calculations'!$D$15+'AA Exact Masses'!$Q$3+'AA Exact Masses'!$Q$2-'Mass Ion Calculations'!$C$22-'Mass Ion Calculations'!$C30)/2-'Mass Ion Calculations'!$D$5,('Mass Ion Calculations'!$F$15+'AA Exact Masses'!$Q$3+'AA Exact Masses'!$Q$2-'Mass Ion Calculations'!$E$22-'Mass Ion Calculations'!$E30)/2-'Mass Ion Calculations'!$D$5)))</f>
        <v/>
      </c>
      <c r="U29" s="3" t="str">
        <f>IF(OR($B29="",U$3=""),"",IF('Mass Ion Calculations'!$D$6="Yes",IF('Mass Ion Calculations'!$D$7="Yes",('Mass Ion Calculations'!$D$18+'AA Exact Masses'!$Q$3+'AA Exact Masses'!$Q$2-'Mass Ion Calculations'!$C$23-'Mass Ion Calculations'!$C30)/2-'Mass Ion Calculations'!$D$5,('Mass Ion Calculations'!$F$18+'AA Exact Masses'!$Q$3+'AA Exact Masses'!$Q$2-'Mass Ion Calculations'!$E$23-'Mass Ion Calculations'!$E30)/2-'Mass Ion Calculations'!$D$5),IF('Mass Ion Calculations'!$D$7="Yes", ('Mass Ion Calculations'!$D$15+'AA Exact Masses'!$Q$3+'AA Exact Masses'!$Q$2-'Mass Ion Calculations'!$C$23-'Mass Ion Calculations'!$C30)/2-'Mass Ion Calculations'!$D$5,('Mass Ion Calculations'!$F$15+'AA Exact Masses'!$Q$3+'AA Exact Masses'!$Q$2-'Mass Ion Calculations'!$E$23-'Mass Ion Calculations'!$E30)/2-'Mass Ion Calculations'!$D$5)))</f>
        <v/>
      </c>
      <c r="V29" s="3" t="str">
        <f>IF(OR($B29="",V$3=""),"",IF('Mass Ion Calculations'!$D$6="Yes",IF('Mass Ion Calculations'!$D$7="Yes",('Mass Ion Calculations'!$D$18+'AA Exact Masses'!$Q$3+'AA Exact Masses'!$Q$2-'Mass Ion Calculations'!$C$24-'Mass Ion Calculations'!$C30)/2-'Mass Ion Calculations'!$D$5,('Mass Ion Calculations'!$F$18+'AA Exact Masses'!$Q$3+'AA Exact Masses'!$Q$2-'Mass Ion Calculations'!$E$24-'Mass Ion Calculations'!$E30)/2-'Mass Ion Calculations'!$D$5),IF('Mass Ion Calculations'!$D$7="Yes", ('Mass Ion Calculations'!$D$15+'AA Exact Masses'!$Q$3+'AA Exact Masses'!$Q$2-'Mass Ion Calculations'!$C$24-'Mass Ion Calculations'!$C30)/2-'Mass Ion Calculations'!$D$5,('Mass Ion Calculations'!$F$15+'AA Exact Masses'!$Q$3+'AA Exact Masses'!$Q$2-'Mass Ion Calculations'!$E$24-'Mass Ion Calculations'!$E30)/2-'Mass Ion Calculations'!$D$5)))</f>
        <v/>
      </c>
      <c r="W29" s="3" t="str">
        <f>IF(OR($B29="",W$3=""),"",IF('Mass Ion Calculations'!$D$6="Yes",IF('Mass Ion Calculations'!$D$7="Yes",('Mass Ion Calculations'!$D$18+'AA Exact Masses'!$Q$3+'AA Exact Masses'!$Q$2-'Mass Ion Calculations'!$C$25-'Mass Ion Calculations'!$C30)/2-'Mass Ion Calculations'!$D$5,('Mass Ion Calculations'!$F$18+'AA Exact Masses'!$Q$3+'AA Exact Masses'!$Q$2-'Mass Ion Calculations'!$E$25-'Mass Ion Calculations'!$E30)/2-'Mass Ion Calculations'!$D$5),IF('Mass Ion Calculations'!$D$7="Yes", ('Mass Ion Calculations'!$D$15+'AA Exact Masses'!$Q$3+'AA Exact Masses'!$Q$2-'Mass Ion Calculations'!$C$25-'Mass Ion Calculations'!$C30)/2-'Mass Ion Calculations'!$D$5,('Mass Ion Calculations'!$F$15+'AA Exact Masses'!$Q$3+'AA Exact Masses'!$Q$2-'Mass Ion Calculations'!$E$25-'Mass Ion Calculations'!$E30)/2-'Mass Ion Calculations'!$D$5)))</f>
        <v/>
      </c>
      <c r="X29" s="3" t="str">
        <f>IF(OR($B29="",X$3=""),"",IF('Mass Ion Calculations'!$D$6="Yes",IF('Mass Ion Calculations'!$D$7="Yes",('Mass Ion Calculations'!$D$18+'AA Exact Masses'!$Q$3+'AA Exact Masses'!$Q$2-'Mass Ion Calculations'!$C$26-'Mass Ion Calculations'!$C30)/2-'Mass Ion Calculations'!$D$5,('Mass Ion Calculations'!$F$18+'AA Exact Masses'!$Q$3+'AA Exact Masses'!$Q$2-'Mass Ion Calculations'!$E$26-'Mass Ion Calculations'!$E30)/2-'Mass Ion Calculations'!$D$5),IF('Mass Ion Calculations'!$D$7="Yes", ('Mass Ion Calculations'!$D$15+'AA Exact Masses'!$Q$3+'AA Exact Masses'!$Q$2-'Mass Ion Calculations'!$C$26-'Mass Ion Calculations'!$C30)/2-'Mass Ion Calculations'!$D$5,('Mass Ion Calculations'!$F$15+'AA Exact Masses'!$Q$3+'AA Exact Masses'!$Q$2-'Mass Ion Calculations'!$E$26-'Mass Ion Calculations'!$E30)/2-'Mass Ion Calculations'!$D$5)))</f>
        <v/>
      </c>
      <c r="Y29" s="3" t="str">
        <f>IF(OR($B29="",Y$3=""),"",IF('Mass Ion Calculations'!$D$6="Yes",IF('Mass Ion Calculations'!$D$7="Yes",('Mass Ion Calculations'!$D$18+'AA Exact Masses'!$Q$3+'AA Exact Masses'!$Q$2-'Mass Ion Calculations'!$C$27-'Mass Ion Calculations'!$C30)/2-'Mass Ion Calculations'!$D$5,('Mass Ion Calculations'!$F$18+'AA Exact Masses'!$Q$3+'AA Exact Masses'!$Q$2-'Mass Ion Calculations'!$E$27-'Mass Ion Calculations'!$E30)/2-'Mass Ion Calculations'!$D$5),IF('Mass Ion Calculations'!$D$7="Yes", ('Mass Ion Calculations'!$D$15+'AA Exact Masses'!$Q$3+'AA Exact Masses'!$Q$2-'Mass Ion Calculations'!$C$27-'Mass Ion Calculations'!$C30)/2-'Mass Ion Calculations'!$D$5,('Mass Ion Calculations'!$F$15+'AA Exact Masses'!$Q$3+'AA Exact Masses'!$Q$2-'Mass Ion Calculations'!$E$27-'Mass Ion Calculations'!$E30)/2-'Mass Ion Calculations'!$D$5)))</f>
        <v/>
      </c>
      <c r="Z29" s="3" t="str">
        <f>IF(OR($B29="",Z$3=""),"",IF('Mass Ion Calculations'!$D$6="Yes",IF('Mass Ion Calculations'!$D$7="Yes",('Mass Ion Calculations'!$D$18+'AA Exact Masses'!$Q$3+'AA Exact Masses'!$Q$2-'Mass Ion Calculations'!$C$28-'Mass Ion Calculations'!$C30)/2-'Mass Ion Calculations'!$D$5,('Mass Ion Calculations'!$F$18+'AA Exact Masses'!$Q$3+'AA Exact Masses'!$Q$2-'Mass Ion Calculations'!$E$28-'Mass Ion Calculations'!$E30)/2-'Mass Ion Calculations'!$D$5),IF('Mass Ion Calculations'!$D$7="Yes", ('Mass Ion Calculations'!$D$15+'AA Exact Masses'!$Q$3+'AA Exact Masses'!$Q$2-'Mass Ion Calculations'!$C$28-'Mass Ion Calculations'!$C30)/2-'Mass Ion Calculations'!$D$5,('Mass Ion Calculations'!$F$15+'AA Exact Masses'!$Q$3+'AA Exact Masses'!$Q$2-'Mass Ion Calculations'!$E$28-'Mass Ion Calculations'!$E30)/2-'Mass Ion Calculations'!$D$5)))</f>
        <v/>
      </c>
    </row>
    <row r="30" spans="2:26" x14ac:dyDescent="0.25">
      <c r="C30" s="3" t="str">
        <f>IF(OR($B30="",C$3=""),"",IF('Mass Ion Calculations'!$D$6="Yes",IF('Mass Ion Calculations'!$D$7="Yes",('Mass Ion Calculations'!$D$18+'AA Exact Masses'!$Q$3+'AA Exact Masses'!$Q$2-'Mass Ion Calculations'!$C$5-'Mass Ion Calculations'!$C31)/2-'Mass Ion Calculations'!$D$5,('Mass Ion Calculations'!$F$18+'AA Exact Masses'!$Q$3+'AA Exact Masses'!$Q$2-'Mass Ion Calculations'!$E$5-'Mass Ion Calculations'!$E31)/2-'Mass Ion Calculations'!$D$5),IF('Mass Ion Calculations'!$D$7="Yes", ('Mass Ion Calculations'!$D$15+'AA Exact Masses'!$Q$3+'AA Exact Masses'!$Q$2-'Mass Ion Calculations'!$C$5-'Mass Ion Calculations'!$C31)/2-'Mass Ion Calculations'!$D$5,('Mass Ion Calculations'!$F$15+'AA Exact Masses'!$Q$3+'AA Exact Masses'!$Q$2-'Mass Ion Calculations'!$E$5-'Mass Ion Calculations'!$E31)/2-'Mass Ion Calculations'!$D$5)))</f>
        <v/>
      </c>
      <c r="D30" s="3" t="str">
        <f>IF(OR($B30="",D$3=""),"",IF('Mass Ion Calculations'!$D$6="Yes",IF('Mass Ion Calculations'!$D$7="Yes",('Mass Ion Calculations'!$D$18+'AA Exact Masses'!$Q$3+'AA Exact Masses'!$Q$2-'Mass Ion Calculations'!$C$6-'Mass Ion Calculations'!$C31)/2-'Mass Ion Calculations'!$D$5,('Mass Ion Calculations'!$F$18+'AA Exact Masses'!$Q$3+'AA Exact Masses'!$Q$2-'Mass Ion Calculations'!$E$6-'Mass Ion Calculations'!$E31)/2-'Mass Ion Calculations'!$D$5),IF('Mass Ion Calculations'!$D$7="Yes", ('Mass Ion Calculations'!$D$15+'AA Exact Masses'!$Q$3+'AA Exact Masses'!$Q$2-'Mass Ion Calculations'!$C$6-'Mass Ion Calculations'!$C31)/2-'Mass Ion Calculations'!$D$5,('Mass Ion Calculations'!$F$15+'AA Exact Masses'!$Q$3+'AA Exact Masses'!$Q$2-'Mass Ion Calculations'!$E$6-'Mass Ion Calculations'!$E31)/2-'Mass Ion Calculations'!$D$5)))</f>
        <v/>
      </c>
      <c r="E30" s="3" t="str">
        <f>IF(OR($B30="",E$3=""),"",IF('Mass Ion Calculations'!$D$6="Yes",IF('Mass Ion Calculations'!$D$7="Yes",('Mass Ion Calculations'!$D$18+'AA Exact Masses'!$Q$3+'AA Exact Masses'!$Q$2-'Mass Ion Calculations'!$C$7-'Mass Ion Calculations'!$C31)/2-'Mass Ion Calculations'!$D$5,('Mass Ion Calculations'!$F$18+'AA Exact Masses'!$Q$3+'AA Exact Masses'!$Q$2-'Mass Ion Calculations'!$E$7-'Mass Ion Calculations'!$E31)/2-'Mass Ion Calculations'!$D$5),IF('Mass Ion Calculations'!$D$7="Yes", ('Mass Ion Calculations'!$D$15+'AA Exact Masses'!$Q$3+'AA Exact Masses'!$Q$2-'Mass Ion Calculations'!$C$7-'Mass Ion Calculations'!$C31)/2-'Mass Ion Calculations'!$D$5,('Mass Ion Calculations'!$F$15+'AA Exact Masses'!$Q$3+'AA Exact Masses'!$Q$2-'Mass Ion Calculations'!$E$7-'Mass Ion Calculations'!$E31)/2-'Mass Ion Calculations'!$D$5)))</f>
        <v/>
      </c>
      <c r="F30" s="3" t="str">
        <f>IF(OR($B30="",F$3=""),"",IF('Mass Ion Calculations'!$D$6="Yes",IF('Mass Ion Calculations'!$D$7="Yes",('Mass Ion Calculations'!$D$18+'AA Exact Masses'!$Q$3+'AA Exact Masses'!$Q$2-'Mass Ion Calculations'!$C$8-'Mass Ion Calculations'!$C31)/2-'Mass Ion Calculations'!$D$5,('Mass Ion Calculations'!$F$18+'AA Exact Masses'!$Q$3+'AA Exact Masses'!$Q$2-'Mass Ion Calculations'!$E$8-'Mass Ion Calculations'!$E31)/2-'Mass Ion Calculations'!$D$5),IF('Mass Ion Calculations'!$D$7="Yes", ('Mass Ion Calculations'!$D$15+'AA Exact Masses'!$Q$3+'AA Exact Masses'!$Q$2-'Mass Ion Calculations'!$C$8-'Mass Ion Calculations'!$C31)/2-'Mass Ion Calculations'!$D$5,('Mass Ion Calculations'!$F$15+'AA Exact Masses'!$Q$3+'AA Exact Masses'!$Q$2-'Mass Ion Calculations'!$E$8-'Mass Ion Calculations'!$E31)/2-'Mass Ion Calculations'!$D$5)))</f>
        <v/>
      </c>
      <c r="G30" s="3" t="str">
        <f>IF(OR($B30="",G$3=""),"",IF('Mass Ion Calculations'!$D$6="Yes",IF('Mass Ion Calculations'!$D$7="Yes",('Mass Ion Calculations'!$D$18+'AA Exact Masses'!$Q$3+'AA Exact Masses'!$Q$2-'Mass Ion Calculations'!$C$9-'Mass Ion Calculations'!$C31)/2-'Mass Ion Calculations'!$D$5,('Mass Ion Calculations'!$F$18+'AA Exact Masses'!$Q$3+'AA Exact Masses'!$Q$2-'Mass Ion Calculations'!$E$9-'Mass Ion Calculations'!$E31)/2-'Mass Ion Calculations'!$D$5),IF('Mass Ion Calculations'!$D$7="Yes", ('Mass Ion Calculations'!$D$15+'AA Exact Masses'!$Q$3+'AA Exact Masses'!$Q$2-'Mass Ion Calculations'!$C$9-'Mass Ion Calculations'!$C31)/2-'Mass Ion Calculations'!$D$5,('Mass Ion Calculations'!$F$15+'AA Exact Masses'!$Q$3+'AA Exact Masses'!$Q$2-'Mass Ion Calculations'!$E$9-'Mass Ion Calculations'!$E31)/2-'Mass Ion Calculations'!$D$5)))</f>
        <v/>
      </c>
      <c r="H30" s="3" t="str">
        <f>IF(OR($B30="",H$3=""),"",IF('Mass Ion Calculations'!$D$6="Yes",IF('Mass Ion Calculations'!$D$7="Yes",('Mass Ion Calculations'!$D$18+'AA Exact Masses'!$Q$3+'AA Exact Masses'!$Q$2-'Mass Ion Calculations'!$C$10-'Mass Ion Calculations'!$C31)/2-'Mass Ion Calculations'!$D$5,('Mass Ion Calculations'!$F$18+'AA Exact Masses'!$Q$3+'AA Exact Masses'!$Q$2-'Mass Ion Calculations'!$E$10-'Mass Ion Calculations'!$E31)/2-'Mass Ion Calculations'!$D$5),IF('Mass Ion Calculations'!$D$7="Yes", ('Mass Ion Calculations'!$D$15+'AA Exact Masses'!$Q$3+'AA Exact Masses'!$Q$2-'Mass Ion Calculations'!$C$10-'Mass Ion Calculations'!$C31)/2-'Mass Ion Calculations'!$D$5,('Mass Ion Calculations'!$F$15+'AA Exact Masses'!$Q$3+'AA Exact Masses'!$Q$2-'Mass Ion Calculations'!$E$10-'Mass Ion Calculations'!$E31)/2-'Mass Ion Calculations'!$D$5)))</f>
        <v/>
      </c>
      <c r="I30" s="3" t="str">
        <f>IF(OR($B30="",I$3=""),"",IF('Mass Ion Calculations'!$D$6="Yes",IF('Mass Ion Calculations'!$D$7="Yes",('Mass Ion Calculations'!$D$18+'AA Exact Masses'!$Q$3+'AA Exact Masses'!$Q$2-'Mass Ion Calculations'!$C$11-'Mass Ion Calculations'!$C31)/2-'Mass Ion Calculations'!$D$5,('Mass Ion Calculations'!$F$18+'AA Exact Masses'!$Q$3+'AA Exact Masses'!$Q$2-'Mass Ion Calculations'!$E$11-'Mass Ion Calculations'!$E31)/2-'Mass Ion Calculations'!$D$5),IF('Mass Ion Calculations'!$D$7="Yes", ('Mass Ion Calculations'!$D$15+'AA Exact Masses'!$Q$3+'AA Exact Masses'!$Q$2-'Mass Ion Calculations'!$C$11-'Mass Ion Calculations'!$C31)/2-'Mass Ion Calculations'!$D$5,('Mass Ion Calculations'!$F$15+'AA Exact Masses'!$Q$3+'AA Exact Masses'!$Q$2-'Mass Ion Calculations'!$E$11-'Mass Ion Calculations'!$E31)/2-'Mass Ion Calculations'!$D$5)))</f>
        <v/>
      </c>
      <c r="J30" s="3" t="str">
        <f>IF(OR($B30="",J$3=""),"",IF('Mass Ion Calculations'!$D$6="Yes",IF('Mass Ion Calculations'!$D$7="Yes",('Mass Ion Calculations'!$D$18+'AA Exact Masses'!$Q$3+'AA Exact Masses'!$Q$2-'Mass Ion Calculations'!$C$12-'Mass Ion Calculations'!$C31)/2-'Mass Ion Calculations'!$D$5,('Mass Ion Calculations'!$F$18+'AA Exact Masses'!$Q$3+'AA Exact Masses'!$Q$2-'Mass Ion Calculations'!$E$12-'Mass Ion Calculations'!$E31)/2-'Mass Ion Calculations'!$D$5),IF('Mass Ion Calculations'!$D$7="Yes", ('Mass Ion Calculations'!$D$15+'AA Exact Masses'!$Q$3+'AA Exact Masses'!$Q$2-'Mass Ion Calculations'!$C$12-'Mass Ion Calculations'!$C31)/2-'Mass Ion Calculations'!$D$5,('Mass Ion Calculations'!$F$15+'AA Exact Masses'!$Q$3+'AA Exact Masses'!$Q$2-'Mass Ion Calculations'!$E$12-'Mass Ion Calculations'!$E31)/2-'Mass Ion Calculations'!$D$5)))</f>
        <v/>
      </c>
      <c r="K30" s="3" t="str">
        <f>IF(OR($B30="",K$3=""),"",IF('Mass Ion Calculations'!$D$6="Yes",IF('Mass Ion Calculations'!$D$7="Yes",('Mass Ion Calculations'!$D$18+'AA Exact Masses'!$Q$3+'AA Exact Masses'!$Q$2-'Mass Ion Calculations'!$C$13-'Mass Ion Calculations'!$C31)/2-'Mass Ion Calculations'!$D$5,('Mass Ion Calculations'!$F$18+'AA Exact Masses'!$Q$3+'AA Exact Masses'!$Q$2-'Mass Ion Calculations'!$E$14-'Mass Ion Calculations'!$E31)/2-'Mass Ion Calculations'!$D$5),IF('Mass Ion Calculations'!$D$7="Yes", ('Mass Ion Calculations'!$D$15+'AA Exact Masses'!$Q$3+'AA Exact Masses'!$Q$2-'Mass Ion Calculations'!$C$13-'Mass Ion Calculations'!$C31)/2-'Mass Ion Calculations'!$D$5,('Mass Ion Calculations'!$F$15+'AA Exact Masses'!$Q$3+'AA Exact Masses'!$Q$2-'Mass Ion Calculations'!$E$14-'Mass Ion Calculations'!$E31)/2-'Mass Ion Calculations'!$D$5)))</f>
        <v/>
      </c>
      <c r="L30" s="3" t="str">
        <f>IF(OR($B30="",L$3=""),"",IF('Mass Ion Calculations'!$D$6="Yes",IF('Mass Ion Calculations'!$D$7="Yes",('Mass Ion Calculations'!$D$18+'AA Exact Masses'!$Q$3+'AA Exact Masses'!$Q$2-'Mass Ion Calculations'!$C$14-'Mass Ion Calculations'!$C31)/2-'Mass Ion Calculations'!$D$5,('Mass Ion Calculations'!$F$18+'AA Exact Masses'!$Q$3+'AA Exact Masses'!$Q$2-'Mass Ion Calculations'!$E$15-'Mass Ion Calculations'!$E31)/2-'Mass Ion Calculations'!$D$5),IF('Mass Ion Calculations'!$D$7="Yes", ('Mass Ion Calculations'!$D$15+'AA Exact Masses'!$Q$3+'AA Exact Masses'!$Q$2-'Mass Ion Calculations'!$C$14-'Mass Ion Calculations'!$C31)/2-'Mass Ion Calculations'!$D$5,('Mass Ion Calculations'!$F$15+'AA Exact Masses'!$Q$3+'AA Exact Masses'!$Q$2-'Mass Ion Calculations'!$E$15-'Mass Ion Calculations'!$E31)/2-'Mass Ion Calculations'!$D$5)))</f>
        <v/>
      </c>
      <c r="M30" s="3" t="str">
        <f>IF(OR($B30="",M$3=""),"",IF('Mass Ion Calculations'!$D$6="Yes",IF('Mass Ion Calculations'!$D$7="Yes",('Mass Ion Calculations'!$D$18+'AA Exact Masses'!$Q$3+'AA Exact Masses'!$Q$2-'Mass Ion Calculations'!$C$15-'Mass Ion Calculations'!$C31)/2-'Mass Ion Calculations'!$D$5,('Mass Ion Calculations'!$F$18+'AA Exact Masses'!$Q$3+'AA Exact Masses'!$Q$2-'Mass Ion Calculations'!$E$16-'Mass Ion Calculations'!$E31)/2-'Mass Ion Calculations'!$D$5),IF('Mass Ion Calculations'!$D$7="Yes", ('Mass Ion Calculations'!$D$15+'AA Exact Masses'!$Q$3+'AA Exact Masses'!$Q$2-'Mass Ion Calculations'!$C$15-'Mass Ion Calculations'!$C31)/2-'Mass Ion Calculations'!$D$5,('Mass Ion Calculations'!$F$15+'AA Exact Masses'!$Q$3+'AA Exact Masses'!$Q$2-'Mass Ion Calculations'!$E$16-'Mass Ion Calculations'!$E31)/2-'Mass Ion Calculations'!$D$5)))</f>
        <v/>
      </c>
      <c r="N30" s="3" t="str">
        <f>IF(OR($B30="",N$3=""),"",IF('Mass Ion Calculations'!$D$6="Yes",IF('Mass Ion Calculations'!$D$7="Yes",('Mass Ion Calculations'!$D$18+'AA Exact Masses'!$Q$3+'AA Exact Masses'!$Q$2-'Mass Ion Calculations'!$C$16-'Mass Ion Calculations'!$C31)/2-'Mass Ion Calculations'!$D$5,('Mass Ion Calculations'!$F$18+'AA Exact Masses'!$Q$3+'AA Exact Masses'!$Q$2-'Mass Ion Calculations'!$E$17-'Mass Ion Calculations'!$E31)/2-'Mass Ion Calculations'!$D$5),IF('Mass Ion Calculations'!$D$7="Yes", ('Mass Ion Calculations'!$D$15+'AA Exact Masses'!$Q$3+'AA Exact Masses'!$Q$2-'Mass Ion Calculations'!$C$16-'Mass Ion Calculations'!$C31)/2-'Mass Ion Calculations'!$D$5,('Mass Ion Calculations'!$F$15+'AA Exact Masses'!$Q$3+'AA Exact Masses'!$Q$2-'Mass Ion Calculations'!$E$17-'Mass Ion Calculations'!$E31)/2-'Mass Ion Calculations'!$D$5)))</f>
        <v/>
      </c>
      <c r="O30" s="3" t="str">
        <f>IF(OR($B30="",O$3=""),"",IF('Mass Ion Calculations'!$D$6="Yes",IF('Mass Ion Calculations'!$D$7="Yes",('Mass Ion Calculations'!$D$18+'AA Exact Masses'!$Q$3+'AA Exact Masses'!$Q$2-'Mass Ion Calculations'!$C$17-'Mass Ion Calculations'!$C31)/2-'Mass Ion Calculations'!$D$5,('Mass Ion Calculations'!$F$18+'AA Exact Masses'!$Q$3+'AA Exact Masses'!$Q$2-'Mass Ion Calculations'!$E$18-'Mass Ion Calculations'!$E31)/2-'Mass Ion Calculations'!$D$5),IF('Mass Ion Calculations'!$D$7="Yes", ('Mass Ion Calculations'!$D$15+'AA Exact Masses'!$Q$3+'AA Exact Masses'!$Q$2-'Mass Ion Calculations'!$C$17-'Mass Ion Calculations'!$C31)/2-'Mass Ion Calculations'!$D$5,('Mass Ion Calculations'!$F$15+'AA Exact Masses'!$Q$3+'AA Exact Masses'!$Q$2-'Mass Ion Calculations'!$E$18-'Mass Ion Calculations'!$E31)/2-'Mass Ion Calculations'!$D$5)))</f>
        <v/>
      </c>
      <c r="P30" s="3" t="str">
        <f>IF(OR($B30="",P$3=""),"",IF('Mass Ion Calculations'!$D$6="Yes",IF('Mass Ion Calculations'!$D$7="Yes",('Mass Ion Calculations'!$D$18+'AA Exact Masses'!$Q$3+'AA Exact Masses'!$Q$2-'Mass Ion Calculations'!$C$19-'Mass Ion Calculations'!$C31)/2-'Mass Ion Calculations'!$D$5,('Mass Ion Calculations'!$F$18+'AA Exact Masses'!$Q$3+'AA Exact Masses'!$Q$2-'Mass Ion Calculations'!$E$19-'Mass Ion Calculations'!$E31)/2-'Mass Ion Calculations'!$D$5),IF('Mass Ion Calculations'!$D$7="Yes", ('Mass Ion Calculations'!$D$15+'AA Exact Masses'!$Q$3+'AA Exact Masses'!$Q$2-'Mass Ion Calculations'!$C$19-'Mass Ion Calculations'!$C31)/2-'Mass Ion Calculations'!$D$5,('Mass Ion Calculations'!$F$15+'AA Exact Masses'!$Q$3+'AA Exact Masses'!$Q$2-'Mass Ion Calculations'!$E$19-'Mass Ion Calculations'!$E31)/2-'Mass Ion Calculations'!$D$5)))</f>
        <v/>
      </c>
      <c r="Q30" s="3" t="str">
        <f>IF(OR($B30="",Q$3=""),"",IF('Mass Ion Calculations'!$D$6="Yes",IF('Mass Ion Calculations'!$D$7="Yes",('Mass Ion Calculations'!$D$18+'AA Exact Masses'!$Q$3+'AA Exact Masses'!$Q$2-'Mass Ion Calculations'!$C$20-'Mass Ion Calculations'!$C31)/2-'Mass Ion Calculations'!$D$5,('Mass Ion Calculations'!$F$18+'AA Exact Masses'!$Q$3+'AA Exact Masses'!$Q$2-'Mass Ion Calculations'!$E$20-'Mass Ion Calculations'!$E31)/2-'Mass Ion Calculations'!$D$5),IF('Mass Ion Calculations'!$D$7="Yes", ('Mass Ion Calculations'!$D$15+'AA Exact Masses'!$Q$3+'AA Exact Masses'!$Q$2-'Mass Ion Calculations'!$C$20-'Mass Ion Calculations'!$C31)/2-'Mass Ion Calculations'!$D$5,('Mass Ion Calculations'!$F$15+'AA Exact Masses'!$Q$3+'AA Exact Masses'!$Q$2-'Mass Ion Calculations'!$E$20-'Mass Ion Calculations'!$E31)/2-'Mass Ion Calculations'!$D$5)))</f>
        <v/>
      </c>
      <c r="R30" s="3" t="str">
        <f>IF(OR($B30="",R$3=""),"",IF('Mass Ion Calculations'!$D$6="Yes",IF('Mass Ion Calculations'!$D$7="Yes",('Mass Ion Calculations'!$D$18+'AA Exact Masses'!$Q$3+'AA Exact Masses'!$Q$2-'Mass Ion Calculations'!$C$21-'Mass Ion Calculations'!$C31)/2-'Mass Ion Calculations'!$D$5,('Mass Ion Calculations'!$F$18+'AA Exact Masses'!$Q$3+'AA Exact Masses'!$Q$2-'Mass Ion Calculations'!$E$21-'Mass Ion Calculations'!$E31)/2-'Mass Ion Calculations'!$D$5),IF('Mass Ion Calculations'!$D$7="Yes", ('Mass Ion Calculations'!$D$15+'AA Exact Masses'!$Q$3+'AA Exact Masses'!$Q$2-'Mass Ion Calculations'!$C$21-'Mass Ion Calculations'!$C31)/2-'Mass Ion Calculations'!$D$5,('Mass Ion Calculations'!$F$15+'AA Exact Masses'!$Q$3+'AA Exact Masses'!$Q$2-'Mass Ion Calculations'!$E$21-'Mass Ion Calculations'!$E31)/2-'Mass Ion Calculations'!$D$5)))</f>
        <v/>
      </c>
      <c r="S30" s="3" t="str">
        <f>IF(OR($B30="",S$3=""),"",IF('Mass Ion Calculations'!$D$6="Yes",IF('Mass Ion Calculations'!$D$7="Yes",('Mass Ion Calculations'!$D$18+'AA Exact Masses'!$Q$3+'AA Exact Masses'!$Q$2-'Mass Ion Calculations'!$C$22-'Mass Ion Calculations'!$C31)/2-'Mass Ion Calculations'!$D$5,('Mass Ion Calculations'!$F$18+'AA Exact Masses'!$Q$3+'AA Exact Masses'!$Q$2-'Mass Ion Calculations'!$E$22-'Mass Ion Calculations'!$E31)/2-'Mass Ion Calculations'!$D$5),IF('Mass Ion Calculations'!$D$7="Yes", ('Mass Ion Calculations'!$D$15+'AA Exact Masses'!$Q$3+'AA Exact Masses'!$Q$2-'Mass Ion Calculations'!$C$22-'Mass Ion Calculations'!$C31)/2-'Mass Ion Calculations'!$D$5,('Mass Ion Calculations'!$F$15+'AA Exact Masses'!$Q$3+'AA Exact Masses'!$Q$2-'Mass Ion Calculations'!$E$22-'Mass Ion Calculations'!$E31)/2-'Mass Ion Calculations'!$D$5)))</f>
        <v/>
      </c>
      <c r="T30" s="3" t="str">
        <f>IF(OR($B30="",T$3=""),"",IF('Mass Ion Calculations'!$D$6="Yes",IF('Mass Ion Calculations'!$D$7="Yes",('Mass Ion Calculations'!$D$18+'AA Exact Masses'!$Q$3+'AA Exact Masses'!$Q$2-'Mass Ion Calculations'!$C$22-'Mass Ion Calculations'!$C31)/2-'Mass Ion Calculations'!$D$5,('Mass Ion Calculations'!$F$18+'AA Exact Masses'!$Q$3+'AA Exact Masses'!$Q$2-'Mass Ion Calculations'!$E$22-'Mass Ion Calculations'!$E31)/2-'Mass Ion Calculations'!$D$5),IF('Mass Ion Calculations'!$D$7="Yes", ('Mass Ion Calculations'!$D$15+'AA Exact Masses'!$Q$3+'AA Exact Masses'!$Q$2-'Mass Ion Calculations'!$C$22-'Mass Ion Calculations'!$C31)/2-'Mass Ion Calculations'!$D$5,('Mass Ion Calculations'!$F$15+'AA Exact Masses'!$Q$3+'AA Exact Masses'!$Q$2-'Mass Ion Calculations'!$E$22-'Mass Ion Calculations'!$E31)/2-'Mass Ion Calculations'!$D$5)))</f>
        <v/>
      </c>
      <c r="U30" s="3" t="str">
        <f>IF(OR($B30="",U$3=""),"",IF('Mass Ion Calculations'!$D$6="Yes",IF('Mass Ion Calculations'!$D$7="Yes",('Mass Ion Calculations'!$D$18+'AA Exact Masses'!$Q$3+'AA Exact Masses'!$Q$2-'Mass Ion Calculations'!$C$23-'Mass Ion Calculations'!$C31)/2-'Mass Ion Calculations'!$D$5,('Mass Ion Calculations'!$F$18+'AA Exact Masses'!$Q$3+'AA Exact Masses'!$Q$2-'Mass Ion Calculations'!$E$23-'Mass Ion Calculations'!$E31)/2-'Mass Ion Calculations'!$D$5),IF('Mass Ion Calculations'!$D$7="Yes", ('Mass Ion Calculations'!$D$15+'AA Exact Masses'!$Q$3+'AA Exact Masses'!$Q$2-'Mass Ion Calculations'!$C$23-'Mass Ion Calculations'!$C31)/2-'Mass Ion Calculations'!$D$5,('Mass Ion Calculations'!$F$15+'AA Exact Masses'!$Q$3+'AA Exact Masses'!$Q$2-'Mass Ion Calculations'!$E$23-'Mass Ion Calculations'!$E31)/2-'Mass Ion Calculations'!$D$5)))</f>
        <v/>
      </c>
      <c r="V30" s="3" t="str">
        <f>IF(OR($B30="",V$3=""),"",IF('Mass Ion Calculations'!$D$6="Yes",IF('Mass Ion Calculations'!$D$7="Yes",('Mass Ion Calculations'!$D$18+'AA Exact Masses'!$Q$3+'AA Exact Masses'!$Q$2-'Mass Ion Calculations'!$C$24-'Mass Ion Calculations'!$C31)/2-'Mass Ion Calculations'!$D$5,('Mass Ion Calculations'!$F$18+'AA Exact Masses'!$Q$3+'AA Exact Masses'!$Q$2-'Mass Ion Calculations'!$E$24-'Mass Ion Calculations'!$E31)/2-'Mass Ion Calculations'!$D$5),IF('Mass Ion Calculations'!$D$7="Yes", ('Mass Ion Calculations'!$D$15+'AA Exact Masses'!$Q$3+'AA Exact Masses'!$Q$2-'Mass Ion Calculations'!$C$24-'Mass Ion Calculations'!$C31)/2-'Mass Ion Calculations'!$D$5,('Mass Ion Calculations'!$F$15+'AA Exact Masses'!$Q$3+'AA Exact Masses'!$Q$2-'Mass Ion Calculations'!$E$24-'Mass Ion Calculations'!$E31)/2-'Mass Ion Calculations'!$D$5)))</f>
        <v/>
      </c>
      <c r="W30" s="3" t="str">
        <f>IF(OR($B30="",W$3=""),"",IF('Mass Ion Calculations'!$D$6="Yes",IF('Mass Ion Calculations'!$D$7="Yes",('Mass Ion Calculations'!$D$18+'AA Exact Masses'!$Q$3+'AA Exact Masses'!$Q$2-'Mass Ion Calculations'!$C$25-'Mass Ion Calculations'!$C31)/2-'Mass Ion Calculations'!$D$5,('Mass Ion Calculations'!$F$18+'AA Exact Masses'!$Q$3+'AA Exact Masses'!$Q$2-'Mass Ion Calculations'!$E$25-'Mass Ion Calculations'!$E31)/2-'Mass Ion Calculations'!$D$5),IF('Mass Ion Calculations'!$D$7="Yes", ('Mass Ion Calculations'!$D$15+'AA Exact Masses'!$Q$3+'AA Exact Masses'!$Q$2-'Mass Ion Calculations'!$C$25-'Mass Ion Calculations'!$C31)/2-'Mass Ion Calculations'!$D$5,('Mass Ion Calculations'!$F$15+'AA Exact Masses'!$Q$3+'AA Exact Masses'!$Q$2-'Mass Ion Calculations'!$E$25-'Mass Ion Calculations'!$E31)/2-'Mass Ion Calculations'!$D$5)))</f>
        <v/>
      </c>
      <c r="X30" s="3" t="str">
        <f>IF(OR($B30="",X$3=""),"",IF('Mass Ion Calculations'!$D$6="Yes",IF('Mass Ion Calculations'!$D$7="Yes",('Mass Ion Calculations'!$D$18+'AA Exact Masses'!$Q$3+'AA Exact Masses'!$Q$2-'Mass Ion Calculations'!$C$26-'Mass Ion Calculations'!$C31)/2-'Mass Ion Calculations'!$D$5,('Mass Ion Calculations'!$F$18+'AA Exact Masses'!$Q$3+'AA Exact Masses'!$Q$2-'Mass Ion Calculations'!$E$26-'Mass Ion Calculations'!$E31)/2-'Mass Ion Calculations'!$D$5),IF('Mass Ion Calculations'!$D$7="Yes", ('Mass Ion Calculations'!$D$15+'AA Exact Masses'!$Q$3+'AA Exact Masses'!$Q$2-'Mass Ion Calculations'!$C$26-'Mass Ion Calculations'!$C31)/2-'Mass Ion Calculations'!$D$5,('Mass Ion Calculations'!$F$15+'AA Exact Masses'!$Q$3+'AA Exact Masses'!$Q$2-'Mass Ion Calculations'!$E$26-'Mass Ion Calculations'!$E31)/2-'Mass Ion Calculations'!$D$5)))</f>
        <v/>
      </c>
      <c r="Y30" s="3" t="str">
        <f>IF(OR($B30="",Y$3=""),"",IF('Mass Ion Calculations'!$D$6="Yes",IF('Mass Ion Calculations'!$D$7="Yes",('Mass Ion Calculations'!$D$18+'AA Exact Masses'!$Q$3+'AA Exact Masses'!$Q$2-'Mass Ion Calculations'!$C$27-'Mass Ion Calculations'!$C31)/2-'Mass Ion Calculations'!$D$5,('Mass Ion Calculations'!$F$18+'AA Exact Masses'!$Q$3+'AA Exact Masses'!$Q$2-'Mass Ion Calculations'!$E$27-'Mass Ion Calculations'!$E31)/2-'Mass Ion Calculations'!$D$5),IF('Mass Ion Calculations'!$D$7="Yes", ('Mass Ion Calculations'!$D$15+'AA Exact Masses'!$Q$3+'AA Exact Masses'!$Q$2-'Mass Ion Calculations'!$C$27-'Mass Ion Calculations'!$C31)/2-'Mass Ion Calculations'!$D$5,('Mass Ion Calculations'!$F$15+'AA Exact Masses'!$Q$3+'AA Exact Masses'!$Q$2-'Mass Ion Calculations'!$E$27-'Mass Ion Calculations'!$E31)/2-'Mass Ion Calculations'!$D$5)))</f>
        <v/>
      </c>
      <c r="Z30" s="3" t="str">
        <f>IF(OR($B30="",Z$3=""),"",IF('Mass Ion Calculations'!$D$6="Yes",IF('Mass Ion Calculations'!$D$7="Yes",('Mass Ion Calculations'!$D$18+'AA Exact Masses'!$Q$3+'AA Exact Masses'!$Q$2-'Mass Ion Calculations'!$C$28-'Mass Ion Calculations'!$C31)/2-'Mass Ion Calculations'!$D$5,('Mass Ion Calculations'!$F$18+'AA Exact Masses'!$Q$3+'AA Exact Masses'!$Q$2-'Mass Ion Calculations'!$E$28-'Mass Ion Calculations'!$E31)/2-'Mass Ion Calculations'!$D$5),IF('Mass Ion Calculations'!$D$7="Yes", ('Mass Ion Calculations'!$D$15+'AA Exact Masses'!$Q$3+'AA Exact Masses'!$Q$2-'Mass Ion Calculations'!$C$28-'Mass Ion Calculations'!$C31)/2-'Mass Ion Calculations'!$D$5,('Mass Ion Calculations'!$F$15+'AA Exact Masses'!$Q$3+'AA Exact Masses'!$Q$2-'Mass Ion Calculations'!$E$28-'Mass Ion Calculations'!$E31)/2-'Mass Ion Calculations'!$D$5)))</f>
        <v/>
      </c>
    </row>
    <row r="31" spans="2:26" x14ac:dyDescent="0.25">
      <c r="C31" s="3" t="str">
        <f>IF(OR($B31="",C$3=""),"",IF('Mass Ion Calculations'!$D$6="Yes",IF('Mass Ion Calculations'!$D$7="Yes",('Mass Ion Calculations'!$D$18+'AA Exact Masses'!$Q$3+'AA Exact Masses'!$Q$2-'Mass Ion Calculations'!$C$5-'Mass Ion Calculations'!$C32)/2-'Mass Ion Calculations'!$D$5,('Mass Ion Calculations'!$F$18+'AA Exact Masses'!$Q$3+'AA Exact Masses'!$Q$2-'Mass Ion Calculations'!$E$5-'Mass Ion Calculations'!$E32)/2-'Mass Ion Calculations'!$D$5),IF('Mass Ion Calculations'!$D$7="Yes", ('Mass Ion Calculations'!$D$15+'AA Exact Masses'!$Q$3+'AA Exact Masses'!$Q$2-'Mass Ion Calculations'!$C$5-'Mass Ion Calculations'!$C32)/2-'Mass Ion Calculations'!$D$5,('Mass Ion Calculations'!$F$15+'AA Exact Masses'!$Q$3+'AA Exact Masses'!$Q$2-'Mass Ion Calculations'!$E$5-'Mass Ion Calculations'!$E32)/2-'Mass Ion Calculations'!$D$5)))</f>
        <v/>
      </c>
      <c r="D31" s="3" t="str">
        <f>IF(OR($B31="",D$3=""),"",IF('Mass Ion Calculations'!$D$6="Yes",IF('Mass Ion Calculations'!$D$7="Yes",('Mass Ion Calculations'!$D$18+'AA Exact Masses'!$Q$3+'AA Exact Masses'!$Q$2-'Mass Ion Calculations'!$C$6-'Mass Ion Calculations'!$C32)/2-'Mass Ion Calculations'!$D$5,('Mass Ion Calculations'!$F$18+'AA Exact Masses'!$Q$3+'AA Exact Masses'!$Q$2-'Mass Ion Calculations'!$E$6-'Mass Ion Calculations'!$E32)/2-'Mass Ion Calculations'!$D$5),IF('Mass Ion Calculations'!$D$7="Yes", ('Mass Ion Calculations'!$D$15+'AA Exact Masses'!$Q$3+'AA Exact Masses'!$Q$2-'Mass Ion Calculations'!$C$6-'Mass Ion Calculations'!$C32)/2-'Mass Ion Calculations'!$D$5,('Mass Ion Calculations'!$F$15+'AA Exact Masses'!$Q$3+'AA Exact Masses'!$Q$2-'Mass Ion Calculations'!$E$6-'Mass Ion Calculations'!$E32)/2-'Mass Ion Calculations'!$D$5)))</f>
        <v/>
      </c>
      <c r="E31" s="3" t="str">
        <f>IF(OR($B31="",E$3=""),"",IF('Mass Ion Calculations'!$D$6="Yes",IF('Mass Ion Calculations'!$D$7="Yes",('Mass Ion Calculations'!$D$18+'AA Exact Masses'!$Q$3+'AA Exact Masses'!$Q$2-'Mass Ion Calculations'!$C$7-'Mass Ion Calculations'!$C32)/2-'Mass Ion Calculations'!$D$5,('Mass Ion Calculations'!$F$18+'AA Exact Masses'!$Q$3+'AA Exact Masses'!$Q$2-'Mass Ion Calculations'!$E$7-'Mass Ion Calculations'!$E32)/2-'Mass Ion Calculations'!$D$5),IF('Mass Ion Calculations'!$D$7="Yes", ('Mass Ion Calculations'!$D$15+'AA Exact Masses'!$Q$3+'AA Exact Masses'!$Q$2-'Mass Ion Calculations'!$C$7-'Mass Ion Calculations'!$C32)/2-'Mass Ion Calculations'!$D$5,('Mass Ion Calculations'!$F$15+'AA Exact Masses'!$Q$3+'AA Exact Masses'!$Q$2-'Mass Ion Calculations'!$E$7-'Mass Ion Calculations'!$E32)/2-'Mass Ion Calculations'!$D$5)))</f>
        <v/>
      </c>
      <c r="F31" s="3" t="str">
        <f>IF(OR($B31="",F$3=""),"",IF('Mass Ion Calculations'!$D$6="Yes",IF('Mass Ion Calculations'!$D$7="Yes",('Mass Ion Calculations'!$D$18+'AA Exact Masses'!$Q$3+'AA Exact Masses'!$Q$2-'Mass Ion Calculations'!$C$8-'Mass Ion Calculations'!$C32)/2-'Mass Ion Calculations'!$D$5,('Mass Ion Calculations'!$F$18+'AA Exact Masses'!$Q$3+'AA Exact Masses'!$Q$2-'Mass Ion Calculations'!$E$8-'Mass Ion Calculations'!$E32)/2-'Mass Ion Calculations'!$D$5),IF('Mass Ion Calculations'!$D$7="Yes", ('Mass Ion Calculations'!$D$15+'AA Exact Masses'!$Q$3+'AA Exact Masses'!$Q$2-'Mass Ion Calculations'!$C$8-'Mass Ion Calculations'!$C32)/2-'Mass Ion Calculations'!$D$5,('Mass Ion Calculations'!$F$15+'AA Exact Masses'!$Q$3+'AA Exact Masses'!$Q$2-'Mass Ion Calculations'!$E$8-'Mass Ion Calculations'!$E32)/2-'Mass Ion Calculations'!$D$5)))</f>
        <v/>
      </c>
      <c r="G31" s="3" t="str">
        <f>IF(OR($B31="",G$3=""),"",IF('Mass Ion Calculations'!$D$6="Yes",IF('Mass Ion Calculations'!$D$7="Yes",('Mass Ion Calculations'!$D$18+'AA Exact Masses'!$Q$3+'AA Exact Masses'!$Q$2-'Mass Ion Calculations'!$C$9-'Mass Ion Calculations'!$C32)/2-'Mass Ion Calculations'!$D$5,('Mass Ion Calculations'!$F$18+'AA Exact Masses'!$Q$3+'AA Exact Masses'!$Q$2-'Mass Ion Calculations'!$E$9-'Mass Ion Calculations'!$E32)/2-'Mass Ion Calculations'!$D$5),IF('Mass Ion Calculations'!$D$7="Yes", ('Mass Ion Calculations'!$D$15+'AA Exact Masses'!$Q$3+'AA Exact Masses'!$Q$2-'Mass Ion Calculations'!$C$9-'Mass Ion Calculations'!$C32)/2-'Mass Ion Calculations'!$D$5,('Mass Ion Calculations'!$F$15+'AA Exact Masses'!$Q$3+'AA Exact Masses'!$Q$2-'Mass Ion Calculations'!$E$9-'Mass Ion Calculations'!$E32)/2-'Mass Ion Calculations'!$D$5)))</f>
        <v/>
      </c>
      <c r="H31" s="3" t="str">
        <f>IF(OR($B31="",H$3=""),"",IF('Mass Ion Calculations'!$D$6="Yes",IF('Mass Ion Calculations'!$D$7="Yes",('Mass Ion Calculations'!$D$18+'AA Exact Masses'!$Q$3+'AA Exact Masses'!$Q$2-'Mass Ion Calculations'!$C$10-'Mass Ion Calculations'!$C32)/2-'Mass Ion Calculations'!$D$5,('Mass Ion Calculations'!$F$18+'AA Exact Masses'!$Q$3+'AA Exact Masses'!$Q$2-'Mass Ion Calculations'!$E$10-'Mass Ion Calculations'!$E32)/2-'Mass Ion Calculations'!$D$5),IF('Mass Ion Calculations'!$D$7="Yes", ('Mass Ion Calculations'!$D$15+'AA Exact Masses'!$Q$3+'AA Exact Masses'!$Q$2-'Mass Ion Calculations'!$C$10-'Mass Ion Calculations'!$C32)/2-'Mass Ion Calculations'!$D$5,('Mass Ion Calculations'!$F$15+'AA Exact Masses'!$Q$3+'AA Exact Masses'!$Q$2-'Mass Ion Calculations'!$E$10-'Mass Ion Calculations'!$E32)/2-'Mass Ion Calculations'!$D$5)))</f>
        <v/>
      </c>
      <c r="I31" s="3" t="str">
        <f>IF(OR($B31="",I$3=""),"",IF('Mass Ion Calculations'!$D$6="Yes",IF('Mass Ion Calculations'!$D$7="Yes",('Mass Ion Calculations'!$D$18+'AA Exact Masses'!$Q$3+'AA Exact Masses'!$Q$2-'Mass Ion Calculations'!$C$11-'Mass Ion Calculations'!$C32)/2-'Mass Ion Calculations'!$D$5,('Mass Ion Calculations'!$F$18+'AA Exact Masses'!$Q$3+'AA Exact Masses'!$Q$2-'Mass Ion Calculations'!$E$11-'Mass Ion Calculations'!$E32)/2-'Mass Ion Calculations'!$D$5),IF('Mass Ion Calculations'!$D$7="Yes", ('Mass Ion Calculations'!$D$15+'AA Exact Masses'!$Q$3+'AA Exact Masses'!$Q$2-'Mass Ion Calculations'!$C$11-'Mass Ion Calculations'!$C32)/2-'Mass Ion Calculations'!$D$5,('Mass Ion Calculations'!$F$15+'AA Exact Masses'!$Q$3+'AA Exact Masses'!$Q$2-'Mass Ion Calculations'!$E$11-'Mass Ion Calculations'!$E32)/2-'Mass Ion Calculations'!$D$5)))</f>
        <v/>
      </c>
      <c r="J31" s="3" t="str">
        <f>IF(OR($B31="",J$3=""),"",IF('Mass Ion Calculations'!$D$6="Yes",IF('Mass Ion Calculations'!$D$7="Yes",('Mass Ion Calculations'!$D$18+'AA Exact Masses'!$Q$3+'AA Exact Masses'!$Q$2-'Mass Ion Calculations'!$C$12-'Mass Ion Calculations'!$C32)/2-'Mass Ion Calculations'!$D$5,('Mass Ion Calculations'!$F$18+'AA Exact Masses'!$Q$3+'AA Exact Masses'!$Q$2-'Mass Ion Calculations'!$E$12-'Mass Ion Calculations'!$E32)/2-'Mass Ion Calculations'!$D$5),IF('Mass Ion Calculations'!$D$7="Yes", ('Mass Ion Calculations'!$D$15+'AA Exact Masses'!$Q$3+'AA Exact Masses'!$Q$2-'Mass Ion Calculations'!$C$12-'Mass Ion Calculations'!$C32)/2-'Mass Ion Calculations'!$D$5,('Mass Ion Calculations'!$F$15+'AA Exact Masses'!$Q$3+'AA Exact Masses'!$Q$2-'Mass Ion Calculations'!$E$12-'Mass Ion Calculations'!$E32)/2-'Mass Ion Calculations'!$D$5)))</f>
        <v/>
      </c>
      <c r="K31" s="3" t="str">
        <f>IF(OR($B31="",K$3=""),"",IF('Mass Ion Calculations'!$D$6="Yes",IF('Mass Ion Calculations'!$D$7="Yes",('Mass Ion Calculations'!$D$18+'AA Exact Masses'!$Q$3+'AA Exact Masses'!$Q$2-'Mass Ion Calculations'!$C$13-'Mass Ion Calculations'!$C32)/2-'Mass Ion Calculations'!$D$5,('Mass Ion Calculations'!$F$18+'AA Exact Masses'!$Q$3+'AA Exact Masses'!$Q$2-'Mass Ion Calculations'!$E$14-'Mass Ion Calculations'!$E32)/2-'Mass Ion Calculations'!$D$5),IF('Mass Ion Calculations'!$D$7="Yes", ('Mass Ion Calculations'!$D$15+'AA Exact Masses'!$Q$3+'AA Exact Masses'!$Q$2-'Mass Ion Calculations'!$C$13-'Mass Ion Calculations'!$C32)/2-'Mass Ion Calculations'!$D$5,('Mass Ion Calculations'!$F$15+'AA Exact Masses'!$Q$3+'AA Exact Masses'!$Q$2-'Mass Ion Calculations'!$E$14-'Mass Ion Calculations'!$E32)/2-'Mass Ion Calculations'!$D$5)))</f>
        <v/>
      </c>
      <c r="L31" s="3" t="str">
        <f>IF(OR($B31="",L$3=""),"",IF('Mass Ion Calculations'!$D$6="Yes",IF('Mass Ion Calculations'!$D$7="Yes",('Mass Ion Calculations'!$D$18+'AA Exact Masses'!$Q$3+'AA Exact Masses'!$Q$2-'Mass Ion Calculations'!$C$14-'Mass Ion Calculations'!$C32)/2-'Mass Ion Calculations'!$D$5,('Mass Ion Calculations'!$F$18+'AA Exact Masses'!$Q$3+'AA Exact Masses'!$Q$2-'Mass Ion Calculations'!$E$15-'Mass Ion Calculations'!$E32)/2-'Mass Ion Calculations'!$D$5),IF('Mass Ion Calculations'!$D$7="Yes", ('Mass Ion Calculations'!$D$15+'AA Exact Masses'!$Q$3+'AA Exact Masses'!$Q$2-'Mass Ion Calculations'!$C$14-'Mass Ion Calculations'!$C32)/2-'Mass Ion Calculations'!$D$5,('Mass Ion Calculations'!$F$15+'AA Exact Masses'!$Q$3+'AA Exact Masses'!$Q$2-'Mass Ion Calculations'!$E$15-'Mass Ion Calculations'!$E32)/2-'Mass Ion Calculations'!$D$5)))</f>
        <v/>
      </c>
      <c r="M31" s="3" t="str">
        <f>IF(OR($B31="",M$3=""),"",IF('Mass Ion Calculations'!$D$6="Yes",IF('Mass Ion Calculations'!$D$7="Yes",('Mass Ion Calculations'!$D$18+'AA Exact Masses'!$Q$3+'AA Exact Masses'!$Q$2-'Mass Ion Calculations'!$C$15-'Mass Ion Calculations'!$C32)/2-'Mass Ion Calculations'!$D$5,('Mass Ion Calculations'!$F$18+'AA Exact Masses'!$Q$3+'AA Exact Masses'!$Q$2-'Mass Ion Calculations'!$E$16-'Mass Ion Calculations'!$E32)/2-'Mass Ion Calculations'!$D$5),IF('Mass Ion Calculations'!$D$7="Yes", ('Mass Ion Calculations'!$D$15+'AA Exact Masses'!$Q$3+'AA Exact Masses'!$Q$2-'Mass Ion Calculations'!$C$15-'Mass Ion Calculations'!$C32)/2-'Mass Ion Calculations'!$D$5,('Mass Ion Calculations'!$F$15+'AA Exact Masses'!$Q$3+'AA Exact Masses'!$Q$2-'Mass Ion Calculations'!$E$16-'Mass Ion Calculations'!$E32)/2-'Mass Ion Calculations'!$D$5)))</f>
        <v/>
      </c>
      <c r="N31" s="3" t="str">
        <f>IF(OR($B31="",N$3=""),"",IF('Mass Ion Calculations'!$D$6="Yes",IF('Mass Ion Calculations'!$D$7="Yes",('Mass Ion Calculations'!$D$18+'AA Exact Masses'!$Q$3+'AA Exact Masses'!$Q$2-'Mass Ion Calculations'!$C$16-'Mass Ion Calculations'!$C32)/2-'Mass Ion Calculations'!$D$5,('Mass Ion Calculations'!$F$18+'AA Exact Masses'!$Q$3+'AA Exact Masses'!$Q$2-'Mass Ion Calculations'!$E$17-'Mass Ion Calculations'!$E32)/2-'Mass Ion Calculations'!$D$5),IF('Mass Ion Calculations'!$D$7="Yes", ('Mass Ion Calculations'!$D$15+'AA Exact Masses'!$Q$3+'AA Exact Masses'!$Q$2-'Mass Ion Calculations'!$C$16-'Mass Ion Calculations'!$C32)/2-'Mass Ion Calculations'!$D$5,('Mass Ion Calculations'!$F$15+'AA Exact Masses'!$Q$3+'AA Exact Masses'!$Q$2-'Mass Ion Calculations'!$E$17-'Mass Ion Calculations'!$E32)/2-'Mass Ion Calculations'!$D$5)))</f>
        <v/>
      </c>
      <c r="O31" s="3" t="str">
        <f>IF(OR($B31="",O$3=""),"",IF('Mass Ion Calculations'!$D$6="Yes",IF('Mass Ion Calculations'!$D$7="Yes",('Mass Ion Calculations'!$D$18+'AA Exact Masses'!$Q$3+'AA Exact Masses'!$Q$2-'Mass Ion Calculations'!$C$17-'Mass Ion Calculations'!$C32)/2-'Mass Ion Calculations'!$D$5,('Mass Ion Calculations'!$F$18+'AA Exact Masses'!$Q$3+'AA Exact Masses'!$Q$2-'Mass Ion Calculations'!$E$18-'Mass Ion Calculations'!$E32)/2-'Mass Ion Calculations'!$D$5),IF('Mass Ion Calculations'!$D$7="Yes", ('Mass Ion Calculations'!$D$15+'AA Exact Masses'!$Q$3+'AA Exact Masses'!$Q$2-'Mass Ion Calculations'!$C$17-'Mass Ion Calculations'!$C32)/2-'Mass Ion Calculations'!$D$5,('Mass Ion Calculations'!$F$15+'AA Exact Masses'!$Q$3+'AA Exact Masses'!$Q$2-'Mass Ion Calculations'!$E$18-'Mass Ion Calculations'!$E32)/2-'Mass Ion Calculations'!$D$5)))</f>
        <v/>
      </c>
      <c r="P31" s="3" t="str">
        <f>IF(OR($B31="",P$3=""),"",IF('Mass Ion Calculations'!$D$6="Yes",IF('Mass Ion Calculations'!$D$7="Yes",('Mass Ion Calculations'!$D$18+'AA Exact Masses'!$Q$3+'AA Exact Masses'!$Q$2-'Mass Ion Calculations'!$C$19-'Mass Ion Calculations'!$C32)/2-'Mass Ion Calculations'!$D$5,('Mass Ion Calculations'!$F$18+'AA Exact Masses'!$Q$3+'AA Exact Masses'!$Q$2-'Mass Ion Calculations'!$E$19-'Mass Ion Calculations'!$E32)/2-'Mass Ion Calculations'!$D$5),IF('Mass Ion Calculations'!$D$7="Yes", ('Mass Ion Calculations'!$D$15+'AA Exact Masses'!$Q$3+'AA Exact Masses'!$Q$2-'Mass Ion Calculations'!$C$19-'Mass Ion Calculations'!$C32)/2-'Mass Ion Calculations'!$D$5,('Mass Ion Calculations'!$F$15+'AA Exact Masses'!$Q$3+'AA Exact Masses'!$Q$2-'Mass Ion Calculations'!$E$19-'Mass Ion Calculations'!$E32)/2-'Mass Ion Calculations'!$D$5)))</f>
        <v/>
      </c>
      <c r="Q31" s="3" t="str">
        <f>IF(OR($B31="",Q$3=""),"",IF('Mass Ion Calculations'!$D$6="Yes",IF('Mass Ion Calculations'!$D$7="Yes",('Mass Ion Calculations'!$D$18+'AA Exact Masses'!$Q$3+'AA Exact Masses'!$Q$2-'Mass Ion Calculations'!$C$20-'Mass Ion Calculations'!$C32)/2-'Mass Ion Calculations'!$D$5,('Mass Ion Calculations'!$F$18+'AA Exact Masses'!$Q$3+'AA Exact Masses'!$Q$2-'Mass Ion Calculations'!$E$20-'Mass Ion Calculations'!$E32)/2-'Mass Ion Calculations'!$D$5),IF('Mass Ion Calculations'!$D$7="Yes", ('Mass Ion Calculations'!$D$15+'AA Exact Masses'!$Q$3+'AA Exact Masses'!$Q$2-'Mass Ion Calculations'!$C$20-'Mass Ion Calculations'!$C32)/2-'Mass Ion Calculations'!$D$5,('Mass Ion Calculations'!$F$15+'AA Exact Masses'!$Q$3+'AA Exact Masses'!$Q$2-'Mass Ion Calculations'!$E$20-'Mass Ion Calculations'!$E32)/2-'Mass Ion Calculations'!$D$5)))</f>
        <v/>
      </c>
      <c r="R31" s="3" t="str">
        <f>IF(OR($B31="",R$3=""),"",IF('Mass Ion Calculations'!$D$6="Yes",IF('Mass Ion Calculations'!$D$7="Yes",('Mass Ion Calculations'!$D$18+'AA Exact Masses'!$Q$3+'AA Exact Masses'!$Q$2-'Mass Ion Calculations'!$C$21-'Mass Ion Calculations'!$C32)/2-'Mass Ion Calculations'!$D$5,('Mass Ion Calculations'!$F$18+'AA Exact Masses'!$Q$3+'AA Exact Masses'!$Q$2-'Mass Ion Calculations'!$E$21-'Mass Ion Calculations'!$E32)/2-'Mass Ion Calculations'!$D$5),IF('Mass Ion Calculations'!$D$7="Yes", ('Mass Ion Calculations'!$D$15+'AA Exact Masses'!$Q$3+'AA Exact Masses'!$Q$2-'Mass Ion Calculations'!$C$21-'Mass Ion Calculations'!$C32)/2-'Mass Ion Calculations'!$D$5,('Mass Ion Calculations'!$F$15+'AA Exact Masses'!$Q$3+'AA Exact Masses'!$Q$2-'Mass Ion Calculations'!$E$21-'Mass Ion Calculations'!$E32)/2-'Mass Ion Calculations'!$D$5)))</f>
        <v/>
      </c>
      <c r="S31" s="3" t="str">
        <f>IF(OR($B31="",S$3=""),"",IF('Mass Ion Calculations'!$D$6="Yes",IF('Mass Ion Calculations'!$D$7="Yes",('Mass Ion Calculations'!$D$18+'AA Exact Masses'!$Q$3+'AA Exact Masses'!$Q$2-'Mass Ion Calculations'!$C$22-'Mass Ion Calculations'!$C32)/2-'Mass Ion Calculations'!$D$5,('Mass Ion Calculations'!$F$18+'AA Exact Masses'!$Q$3+'AA Exact Masses'!$Q$2-'Mass Ion Calculations'!$E$22-'Mass Ion Calculations'!$E32)/2-'Mass Ion Calculations'!$D$5),IF('Mass Ion Calculations'!$D$7="Yes", ('Mass Ion Calculations'!$D$15+'AA Exact Masses'!$Q$3+'AA Exact Masses'!$Q$2-'Mass Ion Calculations'!$C$22-'Mass Ion Calculations'!$C32)/2-'Mass Ion Calculations'!$D$5,('Mass Ion Calculations'!$F$15+'AA Exact Masses'!$Q$3+'AA Exact Masses'!$Q$2-'Mass Ion Calculations'!$E$22-'Mass Ion Calculations'!$E32)/2-'Mass Ion Calculations'!$D$5)))</f>
        <v/>
      </c>
    </row>
    <row r="32" spans="2:26" x14ac:dyDescent="0.25">
      <c r="C32" s="3" t="str">
        <f>IF(OR($B32="",C$3=""),"",IF('Mass Ion Calculations'!$D$6="Yes",IF('Mass Ion Calculations'!$D$7="Yes",('Mass Ion Calculations'!$D$18+'AA Exact Masses'!$Q$3+'AA Exact Masses'!$Q$2-'Mass Ion Calculations'!$C$5-'Mass Ion Calculations'!$C33)/2-'Mass Ion Calculations'!$D$5,('Mass Ion Calculations'!$F$18+'AA Exact Masses'!$Q$3+'AA Exact Masses'!$Q$2-'Mass Ion Calculations'!$E$5-'Mass Ion Calculations'!$E33)/2-'Mass Ion Calculations'!$D$5),IF('Mass Ion Calculations'!$D$7="Yes", ('Mass Ion Calculations'!$D$15+'AA Exact Masses'!$Q$3+'AA Exact Masses'!$Q$2-'Mass Ion Calculations'!$C$5-'Mass Ion Calculations'!$C33)/2-'Mass Ion Calculations'!$D$5,('Mass Ion Calculations'!$F$15+'AA Exact Masses'!$Q$3+'AA Exact Masses'!$Q$2-'Mass Ion Calculations'!$E$5-'Mass Ion Calculations'!$E33)/2-'Mass Ion Calculations'!$D$5)))</f>
        <v/>
      </c>
      <c r="D32" s="3" t="str">
        <f>IF(OR($B32="",D$3=""),"",IF('Mass Ion Calculations'!$D$6="Yes",IF('Mass Ion Calculations'!$D$7="Yes",('Mass Ion Calculations'!$D$18+'AA Exact Masses'!$Q$3+'AA Exact Masses'!$Q$2-'Mass Ion Calculations'!$C$6-'Mass Ion Calculations'!$C33)/2-'Mass Ion Calculations'!$D$5,('Mass Ion Calculations'!$F$18+'AA Exact Masses'!$Q$3+'AA Exact Masses'!$Q$2-'Mass Ion Calculations'!$E$6-'Mass Ion Calculations'!$E33)/2-'Mass Ion Calculations'!$D$5),IF('Mass Ion Calculations'!$D$7="Yes", ('Mass Ion Calculations'!$D$15+'AA Exact Masses'!$Q$3+'AA Exact Masses'!$Q$2-'Mass Ion Calculations'!$C$6-'Mass Ion Calculations'!$C33)/2-'Mass Ion Calculations'!$D$5,('Mass Ion Calculations'!$F$15+'AA Exact Masses'!$Q$3+'AA Exact Masses'!$Q$2-'Mass Ion Calculations'!$E$6-'Mass Ion Calculations'!$E33)/2-'Mass Ion Calculations'!$D$5)))</f>
        <v/>
      </c>
      <c r="E32" s="3" t="str">
        <f>IF(OR($B32="",E$3=""),"",IF('Mass Ion Calculations'!$D$6="Yes",IF('Mass Ion Calculations'!$D$7="Yes",('Mass Ion Calculations'!$D$18+'AA Exact Masses'!$Q$3+'AA Exact Masses'!$Q$2-'Mass Ion Calculations'!$C$7-'Mass Ion Calculations'!$C33)/2-'Mass Ion Calculations'!$D$5,('Mass Ion Calculations'!$F$18+'AA Exact Masses'!$Q$3+'AA Exact Masses'!$Q$2-'Mass Ion Calculations'!$E$7-'Mass Ion Calculations'!$E33)/2-'Mass Ion Calculations'!$D$5),IF('Mass Ion Calculations'!$D$7="Yes", ('Mass Ion Calculations'!$D$15+'AA Exact Masses'!$Q$3+'AA Exact Masses'!$Q$2-'Mass Ion Calculations'!$C$7-'Mass Ion Calculations'!$C33)/2-'Mass Ion Calculations'!$D$5,('Mass Ion Calculations'!$F$15+'AA Exact Masses'!$Q$3+'AA Exact Masses'!$Q$2-'Mass Ion Calculations'!$E$7-'Mass Ion Calculations'!$E33)/2-'Mass Ion Calculations'!$D$5)))</f>
        <v/>
      </c>
      <c r="F32" s="3" t="str">
        <f>IF(OR($B32="",F$3=""),"",IF('Mass Ion Calculations'!$D$6="Yes",IF('Mass Ion Calculations'!$D$7="Yes",('Mass Ion Calculations'!$D$18+'AA Exact Masses'!$Q$3+'AA Exact Masses'!$Q$2-'Mass Ion Calculations'!$C$8-'Mass Ion Calculations'!$C33)/2-'Mass Ion Calculations'!$D$5,('Mass Ion Calculations'!$F$18+'AA Exact Masses'!$Q$3+'AA Exact Masses'!$Q$2-'Mass Ion Calculations'!$E$8-'Mass Ion Calculations'!$E33)/2-'Mass Ion Calculations'!$D$5),IF('Mass Ion Calculations'!$D$7="Yes", ('Mass Ion Calculations'!$D$15+'AA Exact Masses'!$Q$3+'AA Exact Masses'!$Q$2-'Mass Ion Calculations'!$C$8-'Mass Ion Calculations'!$C33)/2-'Mass Ion Calculations'!$D$5,('Mass Ion Calculations'!$F$15+'AA Exact Masses'!$Q$3+'AA Exact Masses'!$Q$2-'Mass Ion Calculations'!$E$8-'Mass Ion Calculations'!$E33)/2-'Mass Ion Calculations'!$D$5)))</f>
        <v/>
      </c>
      <c r="G32" s="3" t="str">
        <f>IF(OR($B32="",G$3=""),"",IF('Mass Ion Calculations'!$D$6="Yes",IF('Mass Ion Calculations'!$D$7="Yes",('Mass Ion Calculations'!$D$18+'AA Exact Masses'!$Q$3+'AA Exact Masses'!$Q$2-'Mass Ion Calculations'!$C$9-'Mass Ion Calculations'!$C33)/2-'Mass Ion Calculations'!$D$5,('Mass Ion Calculations'!$F$18+'AA Exact Masses'!$Q$3+'AA Exact Masses'!$Q$2-'Mass Ion Calculations'!$E$9-'Mass Ion Calculations'!$E33)/2-'Mass Ion Calculations'!$D$5),IF('Mass Ion Calculations'!$D$7="Yes", ('Mass Ion Calculations'!$D$15+'AA Exact Masses'!$Q$3+'AA Exact Masses'!$Q$2-'Mass Ion Calculations'!$C$9-'Mass Ion Calculations'!$C33)/2-'Mass Ion Calculations'!$D$5,('Mass Ion Calculations'!$F$15+'AA Exact Masses'!$Q$3+'AA Exact Masses'!$Q$2-'Mass Ion Calculations'!$E$9-'Mass Ion Calculations'!$E33)/2-'Mass Ion Calculations'!$D$5)))</f>
        <v/>
      </c>
      <c r="H32" s="3" t="str">
        <f>IF(OR($B32="",H$3=""),"",IF('Mass Ion Calculations'!$D$6="Yes",IF('Mass Ion Calculations'!$D$7="Yes",('Mass Ion Calculations'!$D$18+'AA Exact Masses'!$Q$3+'AA Exact Masses'!$Q$2-'Mass Ion Calculations'!$C$10-'Mass Ion Calculations'!$C33)/2-'Mass Ion Calculations'!$D$5,('Mass Ion Calculations'!$F$18+'AA Exact Masses'!$Q$3+'AA Exact Masses'!$Q$2-'Mass Ion Calculations'!$E$10-'Mass Ion Calculations'!$E33)/2-'Mass Ion Calculations'!$D$5),IF('Mass Ion Calculations'!$D$7="Yes", ('Mass Ion Calculations'!$D$15+'AA Exact Masses'!$Q$3+'AA Exact Masses'!$Q$2-'Mass Ion Calculations'!$C$10-'Mass Ion Calculations'!$C33)/2-'Mass Ion Calculations'!$D$5,('Mass Ion Calculations'!$F$15+'AA Exact Masses'!$Q$3+'AA Exact Masses'!$Q$2-'Mass Ion Calculations'!$E$10-'Mass Ion Calculations'!$E33)/2-'Mass Ion Calculations'!$D$5)))</f>
        <v/>
      </c>
      <c r="I32" s="3" t="str">
        <f>IF(OR($B32="",I$3=""),"",IF('Mass Ion Calculations'!$D$6="Yes",IF('Mass Ion Calculations'!$D$7="Yes",('Mass Ion Calculations'!$D$18+'AA Exact Masses'!$Q$3+'AA Exact Masses'!$Q$2-'Mass Ion Calculations'!$C$11-'Mass Ion Calculations'!$C33)/2-'Mass Ion Calculations'!$D$5,('Mass Ion Calculations'!$F$18+'AA Exact Masses'!$Q$3+'AA Exact Masses'!$Q$2-'Mass Ion Calculations'!$E$11-'Mass Ion Calculations'!$E33)/2-'Mass Ion Calculations'!$D$5),IF('Mass Ion Calculations'!$D$7="Yes", ('Mass Ion Calculations'!$D$15+'AA Exact Masses'!$Q$3+'AA Exact Masses'!$Q$2-'Mass Ion Calculations'!$C$11-'Mass Ion Calculations'!$C33)/2-'Mass Ion Calculations'!$D$5,('Mass Ion Calculations'!$F$15+'AA Exact Masses'!$Q$3+'AA Exact Masses'!$Q$2-'Mass Ion Calculations'!$E$11-'Mass Ion Calculations'!$E33)/2-'Mass Ion Calculations'!$D$5)))</f>
        <v/>
      </c>
      <c r="J32" s="3" t="str">
        <f>IF(OR($B32="",J$3=""),"",IF('Mass Ion Calculations'!$D$6="Yes",IF('Mass Ion Calculations'!$D$7="Yes",('Mass Ion Calculations'!$D$18+'AA Exact Masses'!$Q$3+'AA Exact Masses'!$Q$2-'Mass Ion Calculations'!$C$12-'Mass Ion Calculations'!$C33)/2-'Mass Ion Calculations'!$D$5,('Mass Ion Calculations'!$F$18+'AA Exact Masses'!$Q$3+'AA Exact Masses'!$Q$2-'Mass Ion Calculations'!$E$12-'Mass Ion Calculations'!$E33)/2-'Mass Ion Calculations'!$D$5),IF('Mass Ion Calculations'!$D$7="Yes", ('Mass Ion Calculations'!$D$15+'AA Exact Masses'!$Q$3+'AA Exact Masses'!$Q$2-'Mass Ion Calculations'!$C$12-'Mass Ion Calculations'!$C33)/2-'Mass Ion Calculations'!$D$5,('Mass Ion Calculations'!$F$15+'AA Exact Masses'!$Q$3+'AA Exact Masses'!$Q$2-'Mass Ion Calculations'!$E$12-'Mass Ion Calculations'!$E33)/2-'Mass Ion Calculations'!$D$5)))</f>
        <v/>
      </c>
      <c r="K32" s="3" t="str">
        <f>IF(OR($B32="",K$3=""),"",IF('Mass Ion Calculations'!$D$6="Yes",IF('Mass Ion Calculations'!$D$7="Yes",('Mass Ion Calculations'!$D$18+'AA Exact Masses'!$Q$3+'AA Exact Masses'!$Q$2-'Mass Ion Calculations'!$C$13-'Mass Ion Calculations'!$C33)/2-'Mass Ion Calculations'!$D$5,('Mass Ion Calculations'!$F$18+'AA Exact Masses'!$Q$3+'AA Exact Masses'!$Q$2-'Mass Ion Calculations'!$E$14-'Mass Ion Calculations'!$E33)/2-'Mass Ion Calculations'!$D$5),IF('Mass Ion Calculations'!$D$7="Yes", ('Mass Ion Calculations'!$D$15+'AA Exact Masses'!$Q$3+'AA Exact Masses'!$Q$2-'Mass Ion Calculations'!$C$13-'Mass Ion Calculations'!$C33)/2-'Mass Ion Calculations'!$D$5,('Mass Ion Calculations'!$F$15+'AA Exact Masses'!$Q$3+'AA Exact Masses'!$Q$2-'Mass Ion Calculations'!$E$14-'Mass Ion Calculations'!$E33)/2-'Mass Ion Calculations'!$D$5)))</f>
        <v/>
      </c>
      <c r="L32" s="3" t="str">
        <f>IF(OR($B32="",L$3=""),"",IF('Mass Ion Calculations'!$D$6="Yes",IF('Mass Ion Calculations'!$D$7="Yes",('Mass Ion Calculations'!$D$18+'AA Exact Masses'!$Q$3+'AA Exact Masses'!$Q$2-'Mass Ion Calculations'!$C$14-'Mass Ion Calculations'!$C33)/2-'Mass Ion Calculations'!$D$5,('Mass Ion Calculations'!$F$18+'AA Exact Masses'!$Q$3+'AA Exact Masses'!$Q$2-'Mass Ion Calculations'!$E$15-'Mass Ion Calculations'!$E33)/2-'Mass Ion Calculations'!$D$5),IF('Mass Ion Calculations'!$D$7="Yes", ('Mass Ion Calculations'!$D$15+'AA Exact Masses'!$Q$3+'AA Exact Masses'!$Q$2-'Mass Ion Calculations'!$C$14-'Mass Ion Calculations'!$C33)/2-'Mass Ion Calculations'!$D$5,('Mass Ion Calculations'!$F$15+'AA Exact Masses'!$Q$3+'AA Exact Masses'!$Q$2-'Mass Ion Calculations'!$E$15-'Mass Ion Calculations'!$E33)/2-'Mass Ion Calculations'!$D$5)))</f>
        <v/>
      </c>
      <c r="M32" s="3" t="str">
        <f>IF(OR($B32="",M$3=""),"",IF('Mass Ion Calculations'!$D$6="Yes",IF('Mass Ion Calculations'!$D$7="Yes",('Mass Ion Calculations'!$D$18+'AA Exact Masses'!$Q$3+'AA Exact Masses'!$Q$2-'Mass Ion Calculations'!$C$15-'Mass Ion Calculations'!$C33)/2-'Mass Ion Calculations'!$D$5,('Mass Ion Calculations'!$F$18+'AA Exact Masses'!$Q$3+'AA Exact Masses'!$Q$2-'Mass Ion Calculations'!$E$16-'Mass Ion Calculations'!$E33)/2-'Mass Ion Calculations'!$D$5),IF('Mass Ion Calculations'!$D$7="Yes", ('Mass Ion Calculations'!$D$15+'AA Exact Masses'!$Q$3+'AA Exact Masses'!$Q$2-'Mass Ion Calculations'!$C$15-'Mass Ion Calculations'!$C33)/2-'Mass Ion Calculations'!$D$5,('Mass Ion Calculations'!$F$15+'AA Exact Masses'!$Q$3+'AA Exact Masses'!$Q$2-'Mass Ion Calculations'!$E$16-'Mass Ion Calculations'!$E33)/2-'Mass Ion Calculations'!$D$5)))</f>
        <v/>
      </c>
      <c r="N32" s="3" t="str">
        <f>IF(OR($B32="",N$3=""),"",IF('Mass Ion Calculations'!$D$6="Yes",IF('Mass Ion Calculations'!$D$7="Yes",('Mass Ion Calculations'!$D$18+'AA Exact Masses'!$Q$3+'AA Exact Masses'!$Q$2-'Mass Ion Calculations'!$C$16-'Mass Ion Calculations'!$C33)/2-'Mass Ion Calculations'!$D$5,('Mass Ion Calculations'!$F$18+'AA Exact Masses'!$Q$3+'AA Exact Masses'!$Q$2-'Mass Ion Calculations'!$E$17-'Mass Ion Calculations'!$E33)/2-'Mass Ion Calculations'!$D$5),IF('Mass Ion Calculations'!$D$7="Yes", ('Mass Ion Calculations'!$D$15+'AA Exact Masses'!$Q$3+'AA Exact Masses'!$Q$2-'Mass Ion Calculations'!$C$16-'Mass Ion Calculations'!$C33)/2-'Mass Ion Calculations'!$D$5,('Mass Ion Calculations'!$F$15+'AA Exact Masses'!$Q$3+'AA Exact Masses'!$Q$2-'Mass Ion Calculations'!$E$17-'Mass Ion Calculations'!$E33)/2-'Mass Ion Calculations'!$D$5)))</f>
        <v/>
      </c>
      <c r="O32" s="3" t="str">
        <f>IF(OR($B32="",O$3=""),"",IF('Mass Ion Calculations'!$D$6="Yes",IF('Mass Ion Calculations'!$D$7="Yes",('Mass Ion Calculations'!$D$18+'AA Exact Masses'!$Q$3+'AA Exact Masses'!$Q$2-'Mass Ion Calculations'!$C$17-'Mass Ion Calculations'!$C33)/2-'Mass Ion Calculations'!$D$5,('Mass Ion Calculations'!$F$18+'AA Exact Masses'!$Q$3+'AA Exact Masses'!$Q$2-'Mass Ion Calculations'!$E$18-'Mass Ion Calculations'!$E33)/2-'Mass Ion Calculations'!$D$5),IF('Mass Ion Calculations'!$D$7="Yes", ('Mass Ion Calculations'!$D$15+'AA Exact Masses'!$Q$3+'AA Exact Masses'!$Q$2-'Mass Ion Calculations'!$C$17-'Mass Ion Calculations'!$C33)/2-'Mass Ion Calculations'!$D$5,('Mass Ion Calculations'!$F$15+'AA Exact Masses'!$Q$3+'AA Exact Masses'!$Q$2-'Mass Ion Calculations'!$E$18-'Mass Ion Calculations'!$E33)/2-'Mass Ion Calculations'!$D$5)))</f>
        <v/>
      </c>
      <c r="P32" s="3" t="str">
        <f>IF(OR($B32="",P$3=""),"",IF('Mass Ion Calculations'!$D$6="Yes",IF('Mass Ion Calculations'!$D$7="Yes",('Mass Ion Calculations'!$D$18+'AA Exact Masses'!$Q$3+'AA Exact Masses'!$Q$2-'Mass Ion Calculations'!$C$19-'Mass Ion Calculations'!$C33)/2-'Mass Ion Calculations'!$D$5,('Mass Ion Calculations'!$F$18+'AA Exact Masses'!$Q$3+'AA Exact Masses'!$Q$2-'Mass Ion Calculations'!$E$19-'Mass Ion Calculations'!$E33)/2-'Mass Ion Calculations'!$D$5),IF('Mass Ion Calculations'!$D$7="Yes", ('Mass Ion Calculations'!$D$15+'AA Exact Masses'!$Q$3+'AA Exact Masses'!$Q$2-'Mass Ion Calculations'!$C$19-'Mass Ion Calculations'!$C33)/2-'Mass Ion Calculations'!$D$5,('Mass Ion Calculations'!$F$15+'AA Exact Masses'!$Q$3+'AA Exact Masses'!$Q$2-'Mass Ion Calculations'!$E$19-'Mass Ion Calculations'!$E33)/2-'Mass Ion Calculations'!$D$5)))</f>
        <v/>
      </c>
      <c r="Q32" s="3" t="str">
        <f>IF(OR($B32="",Q$3=""),"",IF('Mass Ion Calculations'!$D$6="Yes",IF('Mass Ion Calculations'!$D$7="Yes",('Mass Ion Calculations'!$D$18+'AA Exact Masses'!$Q$3+'AA Exact Masses'!$Q$2-'Mass Ion Calculations'!$C$20-'Mass Ion Calculations'!$C33)/2-'Mass Ion Calculations'!$D$5,('Mass Ion Calculations'!$F$18+'AA Exact Masses'!$Q$3+'AA Exact Masses'!$Q$2-'Mass Ion Calculations'!$E$20-'Mass Ion Calculations'!$E33)/2-'Mass Ion Calculations'!$D$5),IF('Mass Ion Calculations'!$D$7="Yes", ('Mass Ion Calculations'!$D$15+'AA Exact Masses'!$Q$3+'AA Exact Masses'!$Q$2-'Mass Ion Calculations'!$C$20-'Mass Ion Calculations'!$C33)/2-'Mass Ion Calculations'!$D$5,('Mass Ion Calculations'!$F$15+'AA Exact Masses'!$Q$3+'AA Exact Masses'!$Q$2-'Mass Ion Calculations'!$E$20-'Mass Ion Calculations'!$E33)/2-'Mass Ion Calculations'!$D$5)))</f>
        <v/>
      </c>
      <c r="R32" s="3" t="str">
        <f>IF(OR($B32="",R$3=""),"",IF('Mass Ion Calculations'!$D$6="Yes",IF('Mass Ion Calculations'!$D$7="Yes",('Mass Ion Calculations'!$D$18+'AA Exact Masses'!$Q$3+'AA Exact Masses'!$Q$2-'Mass Ion Calculations'!$C$21-'Mass Ion Calculations'!$C33)/2-'Mass Ion Calculations'!$D$5,('Mass Ion Calculations'!$F$18+'AA Exact Masses'!$Q$3+'AA Exact Masses'!$Q$2-'Mass Ion Calculations'!$E$21-'Mass Ion Calculations'!$E33)/2-'Mass Ion Calculations'!$D$5),IF('Mass Ion Calculations'!$D$7="Yes", ('Mass Ion Calculations'!$D$15+'AA Exact Masses'!$Q$3+'AA Exact Masses'!$Q$2-'Mass Ion Calculations'!$C$21-'Mass Ion Calculations'!$C33)/2-'Mass Ion Calculations'!$D$5,('Mass Ion Calculations'!$F$15+'AA Exact Masses'!$Q$3+'AA Exact Masses'!$Q$2-'Mass Ion Calculations'!$E$21-'Mass Ion Calculations'!$E33)/2-'Mass Ion Calculations'!$D$5)))</f>
        <v/>
      </c>
      <c r="S32" s="3" t="str">
        <f>IF(OR($B32="",S$3=""),"",IF('Mass Ion Calculations'!$D$6="Yes",IF('Mass Ion Calculations'!$D$7="Yes",('Mass Ion Calculations'!$D$18+'AA Exact Masses'!$Q$3+'AA Exact Masses'!$Q$2-'Mass Ion Calculations'!$C$22-'Mass Ion Calculations'!$C33)/2-'Mass Ion Calculations'!$D$5,('Mass Ion Calculations'!$F$18+'AA Exact Masses'!$Q$3+'AA Exact Masses'!$Q$2-'Mass Ion Calculations'!$E$22-'Mass Ion Calculations'!$E33)/2-'Mass Ion Calculations'!$D$5),IF('Mass Ion Calculations'!$D$7="Yes", ('Mass Ion Calculations'!$D$15+'AA Exact Masses'!$Q$3+'AA Exact Masses'!$Q$2-'Mass Ion Calculations'!$C$22-'Mass Ion Calculations'!$C33)/2-'Mass Ion Calculations'!$D$5,('Mass Ion Calculations'!$F$15+'AA Exact Masses'!$Q$3+'AA Exact Masses'!$Q$2-'Mass Ion Calculations'!$E$22-'Mass Ion Calculations'!$E33)/2-'Mass Ion Calculations'!$D$5)))</f>
        <v/>
      </c>
    </row>
    <row r="33" spans="3:19" x14ac:dyDescent="0.25">
      <c r="C33" s="3" t="str">
        <f>IF(OR($B33="",C$3=""),"",IF('Mass Ion Calculations'!$D$6="Yes",IF('Mass Ion Calculations'!$D$7="Yes",('Mass Ion Calculations'!$D$18+'AA Exact Masses'!$Q$3+'AA Exact Masses'!$Q$2-'Mass Ion Calculations'!$C$5-'Mass Ion Calculations'!$C34)/2-'Mass Ion Calculations'!$D$5,('Mass Ion Calculations'!$F$18+'AA Exact Masses'!$Q$3+'AA Exact Masses'!$Q$2-'Mass Ion Calculations'!$E$5-'Mass Ion Calculations'!$E34)/2-'Mass Ion Calculations'!$D$5),IF('Mass Ion Calculations'!$D$7="Yes", ('Mass Ion Calculations'!$D$15+'AA Exact Masses'!$Q$3+'AA Exact Masses'!$Q$2-'Mass Ion Calculations'!$C$5-'Mass Ion Calculations'!$C34)/2-'Mass Ion Calculations'!$D$5,('Mass Ion Calculations'!$F$15+'AA Exact Masses'!$Q$3+'AA Exact Masses'!$Q$2-'Mass Ion Calculations'!$E$5-'Mass Ion Calculations'!$E34)/2-'Mass Ion Calculations'!$D$5)))</f>
        <v/>
      </c>
      <c r="D33" s="3" t="str">
        <f>IF(OR($B33="",D$3=""),"",IF('Mass Ion Calculations'!$D$6="Yes",IF('Mass Ion Calculations'!$D$7="Yes",('Mass Ion Calculations'!$D$18+'AA Exact Masses'!$Q$3+'AA Exact Masses'!$Q$2-'Mass Ion Calculations'!$C$6-'Mass Ion Calculations'!$C34)/2-'Mass Ion Calculations'!$D$5,('Mass Ion Calculations'!$F$18+'AA Exact Masses'!$Q$3+'AA Exact Masses'!$Q$2-'Mass Ion Calculations'!$E$6-'Mass Ion Calculations'!$E34)/2-'Mass Ion Calculations'!$D$5),IF('Mass Ion Calculations'!$D$7="Yes", ('Mass Ion Calculations'!$D$15+'AA Exact Masses'!$Q$3+'AA Exact Masses'!$Q$2-'Mass Ion Calculations'!$C$6-'Mass Ion Calculations'!$C34)/2-'Mass Ion Calculations'!$D$5,('Mass Ion Calculations'!$F$15+'AA Exact Masses'!$Q$3+'AA Exact Masses'!$Q$2-'Mass Ion Calculations'!$E$6-'Mass Ion Calculations'!$E34)/2-'Mass Ion Calculations'!$D$5)))</f>
        <v/>
      </c>
      <c r="E33" s="3" t="str">
        <f>IF(OR($B33="",E$3=""),"",IF('Mass Ion Calculations'!$D$6="Yes",IF('Mass Ion Calculations'!$D$7="Yes",('Mass Ion Calculations'!$D$18+'AA Exact Masses'!$Q$3+'AA Exact Masses'!$Q$2-'Mass Ion Calculations'!$C$7-'Mass Ion Calculations'!$C34)/2-'Mass Ion Calculations'!$D$5,('Mass Ion Calculations'!$F$18+'AA Exact Masses'!$Q$3+'AA Exact Masses'!$Q$2-'Mass Ion Calculations'!$E$7-'Mass Ion Calculations'!$E34)/2-'Mass Ion Calculations'!$D$5),IF('Mass Ion Calculations'!$D$7="Yes", ('Mass Ion Calculations'!$D$15+'AA Exact Masses'!$Q$3+'AA Exact Masses'!$Q$2-'Mass Ion Calculations'!$C$7-'Mass Ion Calculations'!$C34)/2-'Mass Ion Calculations'!$D$5,('Mass Ion Calculations'!$F$15+'AA Exact Masses'!$Q$3+'AA Exact Masses'!$Q$2-'Mass Ion Calculations'!$E$7-'Mass Ion Calculations'!$E34)/2-'Mass Ion Calculations'!$D$5)))</f>
        <v/>
      </c>
      <c r="F33" s="3" t="str">
        <f>IF(OR($B33="",F$3=""),"",IF('Mass Ion Calculations'!$D$6="Yes",IF('Mass Ion Calculations'!$D$7="Yes",('Mass Ion Calculations'!$D$18+'AA Exact Masses'!$Q$3+'AA Exact Masses'!$Q$2-'Mass Ion Calculations'!$C$8-'Mass Ion Calculations'!$C34)/2-'Mass Ion Calculations'!$D$5,('Mass Ion Calculations'!$F$18+'AA Exact Masses'!$Q$3+'AA Exact Masses'!$Q$2-'Mass Ion Calculations'!$E$8-'Mass Ion Calculations'!$E34)/2-'Mass Ion Calculations'!$D$5),IF('Mass Ion Calculations'!$D$7="Yes", ('Mass Ion Calculations'!$D$15+'AA Exact Masses'!$Q$3+'AA Exact Masses'!$Q$2-'Mass Ion Calculations'!$C$8-'Mass Ion Calculations'!$C34)/2-'Mass Ion Calculations'!$D$5,('Mass Ion Calculations'!$F$15+'AA Exact Masses'!$Q$3+'AA Exact Masses'!$Q$2-'Mass Ion Calculations'!$E$8-'Mass Ion Calculations'!$E34)/2-'Mass Ion Calculations'!$D$5)))</f>
        <v/>
      </c>
      <c r="G33" s="3" t="str">
        <f>IF(OR($B33="",G$3=""),"",IF('Mass Ion Calculations'!$D$6="Yes",IF('Mass Ion Calculations'!$D$7="Yes",('Mass Ion Calculations'!$D$18+'AA Exact Masses'!$Q$3+'AA Exact Masses'!$Q$2-'Mass Ion Calculations'!$C$9-'Mass Ion Calculations'!$C34)/2-'Mass Ion Calculations'!$D$5,('Mass Ion Calculations'!$F$18+'AA Exact Masses'!$Q$3+'AA Exact Masses'!$Q$2-'Mass Ion Calculations'!$E$9-'Mass Ion Calculations'!$E34)/2-'Mass Ion Calculations'!$D$5),IF('Mass Ion Calculations'!$D$7="Yes", ('Mass Ion Calculations'!$D$15+'AA Exact Masses'!$Q$3+'AA Exact Masses'!$Q$2-'Mass Ion Calculations'!$C$9-'Mass Ion Calculations'!$C34)/2-'Mass Ion Calculations'!$D$5,('Mass Ion Calculations'!$F$15+'AA Exact Masses'!$Q$3+'AA Exact Masses'!$Q$2-'Mass Ion Calculations'!$E$9-'Mass Ion Calculations'!$E34)/2-'Mass Ion Calculations'!$D$5)))</f>
        <v/>
      </c>
      <c r="H33" s="3" t="str">
        <f>IF(OR($B33="",H$3=""),"",IF('Mass Ion Calculations'!$D$6="Yes",IF('Mass Ion Calculations'!$D$7="Yes",('Mass Ion Calculations'!$D$18+'AA Exact Masses'!$Q$3+'AA Exact Masses'!$Q$2-'Mass Ion Calculations'!$C$10-'Mass Ion Calculations'!$C34)/2-'Mass Ion Calculations'!$D$5,('Mass Ion Calculations'!$F$18+'AA Exact Masses'!$Q$3+'AA Exact Masses'!$Q$2-'Mass Ion Calculations'!$E$10-'Mass Ion Calculations'!$E34)/2-'Mass Ion Calculations'!$D$5),IF('Mass Ion Calculations'!$D$7="Yes", ('Mass Ion Calculations'!$D$15+'AA Exact Masses'!$Q$3+'AA Exact Masses'!$Q$2-'Mass Ion Calculations'!$C$10-'Mass Ion Calculations'!$C34)/2-'Mass Ion Calculations'!$D$5,('Mass Ion Calculations'!$F$15+'AA Exact Masses'!$Q$3+'AA Exact Masses'!$Q$2-'Mass Ion Calculations'!$E$10-'Mass Ion Calculations'!$E34)/2-'Mass Ion Calculations'!$D$5)))</f>
        <v/>
      </c>
      <c r="I33" s="3" t="str">
        <f>IF(OR($B33="",I$3=""),"",IF('Mass Ion Calculations'!$D$6="Yes",IF('Mass Ion Calculations'!$D$7="Yes",('Mass Ion Calculations'!$D$18+'AA Exact Masses'!$Q$3+'AA Exact Masses'!$Q$2-'Mass Ion Calculations'!$C$11-'Mass Ion Calculations'!$C34)/2-'Mass Ion Calculations'!$D$5,('Mass Ion Calculations'!$F$18+'AA Exact Masses'!$Q$3+'AA Exact Masses'!$Q$2-'Mass Ion Calculations'!$E$11-'Mass Ion Calculations'!$E34)/2-'Mass Ion Calculations'!$D$5),IF('Mass Ion Calculations'!$D$7="Yes", ('Mass Ion Calculations'!$D$15+'AA Exact Masses'!$Q$3+'AA Exact Masses'!$Q$2-'Mass Ion Calculations'!$C$11-'Mass Ion Calculations'!$C34)/2-'Mass Ion Calculations'!$D$5,('Mass Ion Calculations'!$F$15+'AA Exact Masses'!$Q$3+'AA Exact Masses'!$Q$2-'Mass Ion Calculations'!$E$11-'Mass Ion Calculations'!$E34)/2-'Mass Ion Calculations'!$D$5)))</f>
        <v/>
      </c>
      <c r="J33" s="3" t="str">
        <f>IF(OR($B33="",J$3=""),"",IF('Mass Ion Calculations'!$D$6="Yes",IF('Mass Ion Calculations'!$D$7="Yes",('Mass Ion Calculations'!$D$18+'AA Exact Masses'!$Q$3+'AA Exact Masses'!$Q$2-'Mass Ion Calculations'!$C$12-'Mass Ion Calculations'!$C34)/2-'Mass Ion Calculations'!$D$5,('Mass Ion Calculations'!$F$18+'AA Exact Masses'!$Q$3+'AA Exact Masses'!$Q$2-'Mass Ion Calculations'!$E$12-'Mass Ion Calculations'!$E34)/2-'Mass Ion Calculations'!$D$5),IF('Mass Ion Calculations'!$D$7="Yes", ('Mass Ion Calculations'!$D$15+'AA Exact Masses'!$Q$3+'AA Exact Masses'!$Q$2-'Mass Ion Calculations'!$C$12-'Mass Ion Calculations'!$C34)/2-'Mass Ion Calculations'!$D$5,('Mass Ion Calculations'!$F$15+'AA Exact Masses'!$Q$3+'AA Exact Masses'!$Q$2-'Mass Ion Calculations'!$E$12-'Mass Ion Calculations'!$E34)/2-'Mass Ion Calculations'!$D$5)))</f>
        <v/>
      </c>
      <c r="K33" s="3" t="str">
        <f>IF(OR($B33="",K$3=""),"",IF('Mass Ion Calculations'!$D$6="Yes",IF('Mass Ion Calculations'!$D$7="Yes",('Mass Ion Calculations'!$D$18+'AA Exact Masses'!$Q$3+'AA Exact Masses'!$Q$2-'Mass Ion Calculations'!$C$13-'Mass Ion Calculations'!$C34)/2-'Mass Ion Calculations'!$D$5,('Mass Ion Calculations'!$F$18+'AA Exact Masses'!$Q$3+'AA Exact Masses'!$Q$2-'Mass Ion Calculations'!$E$14-'Mass Ion Calculations'!$E34)/2-'Mass Ion Calculations'!$D$5),IF('Mass Ion Calculations'!$D$7="Yes", ('Mass Ion Calculations'!$D$15+'AA Exact Masses'!$Q$3+'AA Exact Masses'!$Q$2-'Mass Ion Calculations'!$C$13-'Mass Ion Calculations'!$C34)/2-'Mass Ion Calculations'!$D$5,('Mass Ion Calculations'!$F$15+'AA Exact Masses'!$Q$3+'AA Exact Masses'!$Q$2-'Mass Ion Calculations'!$E$14-'Mass Ion Calculations'!$E34)/2-'Mass Ion Calculations'!$D$5)))</f>
        <v/>
      </c>
      <c r="L33" s="3" t="str">
        <f>IF(OR($B33="",L$3=""),"",IF('Mass Ion Calculations'!$D$6="Yes",IF('Mass Ion Calculations'!$D$7="Yes",('Mass Ion Calculations'!$D$18+'AA Exact Masses'!$Q$3+'AA Exact Masses'!$Q$2-'Mass Ion Calculations'!$C$14-'Mass Ion Calculations'!$C34)/2-'Mass Ion Calculations'!$D$5,('Mass Ion Calculations'!$F$18+'AA Exact Masses'!$Q$3+'AA Exact Masses'!$Q$2-'Mass Ion Calculations'!$E$15-'Mass Ion Calculations'!$E34)/2-'Mass Ion Calculations'!$D$5),IF('Mass Ion Calculations'!$D$7="Yes", ('Mass Ion Calculations'!$D$15+'AA Exact Masses'!$Q$3+'AA Exact Masses'!$Q$2-'Mass Ion Calculations'!$C$14-'Mass Ion Calculations'!$C34)/2-'Mass Ion Calculations'!$D$5,('Mass Ion Calculations'!$F$15+'AA Exact Masses'!$Q$3+'AA Exact Masses'!$Q$2-'Mass Ion Calculations'!$E$15-'Mass Ion Calculations'!$E34)/2-'Mass Ion Calculations'!$D$5)))</f>
        <v/>
      </c>
      <c r="M33" s="3" t="str">
        <f>IF(OR($B33="",M$3=""),"",IF('Mass Ion Calculations'!$D$6="Yes",IF('Mass Ion Calculations'!$D$7="Yes",('Mass Ion Calculations'!$D$18+'AA Exact Masses'!$Q$3+'AA Exact Masses'!$Q$2-'Mass Ion Calculations'!$C$15-'Mass Ion Calculations'!$C34)/2-'Mass Ion Calculations'!$D$5,('Mass Ion Calculations'!$F$18+'AA Exact Masses'!$Q$3+'AA Exact Masses'!$Q$2-'Mass Ion Calculations'!$E$16-'Mass Ion Calculations'!$E34)/2-'Mass Ion Calculations'!$D$5),IF('Mass Ion Calculations'!$D$7="Yes", ('Mass Ion Calculations'!$D$15+'AA Exact Masses'!$Q$3+'AA Exact Masses'!$Q$2-'Mass Ion Calculations'!$C$15-'Mass Ion Calculations'!$C34)/2-'Mass Ion Calculations'!$D$5,('Mass Ion Calculations'!$F$15+'AA Exact Masses'!$Q$3+'AA Exact Masses'!$Q$2-'Mass Ion Calculations'!$E$16-'Mass Ion Calculations'!$E34)/2-'Mass Ion Calculations'!$D$5)))</f>
        <v/>
      </c>
      <c r="N33" s="3" t="str">
        <f>IF(OR($B33="",N$3=""),"",IF('Mass Ion Calculations'!$D$6="Yes",IF('Mass Ion Calculations'!$D$7="Yes",('Mass Ion Calculations'!$D$18+'AA Exact Masses'!$Q$3+'AA Exact Masses'!$Q$2-'Mass Ion Calculations'!$C$16-'Mass Ion Calculations'!$C34)/2-'Mass Ion Calculations'!$D$5,('Mass Ion Calculations'!$F$18+'AA Exact Masses'!$Q$3+'AA Exact Masses'!$Q$2-'Mass Ion Calculations'!$E$17-'Mass Ion Calculations'!$E34)/2-'Mass Ion Calculations'!$D$5),IF('Mass Ion Calculations'!$D$7="Yes", ('Mass Ion Calculations'!$D$15+'AA Exact Masses'!$Q$3+'AA Exact Masses'!$Q$2-'Mass Ion Calculations'!$C$16-'Mass Ion Calculations'!$C34)/2-'Mass Ion Calculations'!$D$5,('Mass Ion Calculations'!$F$15+'AA Exact Masses'!$Q$3+'AA Exact Masses'!$Q$2-'Mass Ion Calculations'!$E$17-'Mass Ion Calculations'!$E34)/2-'Mass Ion Calculations'!$D$5)))</f>
        <v/>
      </c>
      <c r="O33" s="3" t="str">
        <f>IF(OR($B33="",O$3=""),"",IF('Mass Ion Calculations'!$D$6="Yes",IF('Mass Ion Calculations'!$D$7="Yes",('Mass Ion Calculations'!$D$18+'AA Exact Masses'!$Q$3+'AA Exact Masses'!$Q$2-'Mass Ion Calculations'!$C$17-'Mass Ion Calculations'!$C34)/2-'Mass Ion Calculations'!$D$5,('Mass Ion Calculations'!$F$18+'AA Exact Masses'!$Q$3+'AA Exact Masses'!$Q$2-'Mass Ion Calculations'!$E$18-'Mass Ion Calculations'!$E34)/2-'Mass Ion Calculations'!$D$5),IF('Mass Ion Calculations'!$D$7="Yes", ('Mass Ion Calculations'!$D$15+'AA Exact Masses'!$Q$3+'AA Exact Masses'!$Q$2-'Mass Ion Calculations'!$C$17-'Mass Ion Calculations'!$C34)/2-'Mass Ion Calculations'!$D$5,('Mass Ion Calculations'!$F$15+'AA Exact Masses'!$Q$3+'AA Exact Masses'!$Q$2-'Mass Ion Calculations'!$E$18-'Mass Ion Calculations'!$E34)/2-'Mass Ion Calculations'!$D$5)))</f>
        <v/>
      </c>
      <c r="P33" s="3" t="str">
        <f>IF(OR($B33="",P$3=""),"",IF('Mass Ion Calculations'!$D$6="Yes",IF('Mass Ion Calculations'!$D$7="Yes",('Mass Ion Calculations'!$D$18+'AA Exact Masses'!$Q$3+'AA Exact Masses'!$Q$2-'Mass Ion Calculations'!$C$19-'Mass Ion Calculations'!$C34)/2-'Mass Ion Calculations'!$D$5,('Mass Ion Calculations'!$F$18+'AA Exact Masses'!$Q$3+'AA Exact Masses'!$Q$2-'Mass Ion Calculations'!$E$19-'Mass Ion Calculations'!$E34)/2-'Mass Ion Calculations'!$D$5),IF('Mass Ion Calculations'!$D$7="Yes", ('Mass Ion Calculations'!$D$15+'AA Exact Masses'!$Q$3+'AA Exact Masses'!$Q$2-'Mass Ion Calculations'!$C$19-'Mass Ion Calculations'!$C34)/2-'Mass Ion Calculations'!$D$5,('Mass Ion Calculations'!$F$15+'AA Exact Masses'!$Q$3+'AA Exact Masses'!$Q$2-'Mass Ion Calculations'!$E$19-'Mass Ion Calculations'!$E34)/2-'Mass Ion Calculations'!$D$5)))</f>
        <v/>
      </c>
      <c r="Q33" s="3" t="str">
        <f>IF(OR($B33="",Q$3=""),"",IF('Mass Ion Calculations'!$D$6="Yes",IF('Mass Ion Calculations'!$D$7="Yes",('Mass Ion Calculations'!$D$18+'AA Exact Masses'!$Q$3+'AA Exact Masses'!$Q$2-'Mass Ion Calculations'!$C$20-'Mass Ion Calculations'!$C34)/2-'Mass Ion Calculations'!$D$5,('Mass Ion Calculations'!$F$18+'AA Exact Masses'!$Q$3+'AA Exact Masses'!$Q$2-'Mass Ion Calculations'!$E$20-'Mass Ion Calculations'!$E34)/2-'Mass Ion Calculations'!$D$5),IF('Mass Ion Calculations'!$D$7="Yes", ('Mass Ion Calculations'!$D$15+'AA Exact Masses'!$Q$3+'AA Exact Masses'!$Q$2-'Mass Ion Calculations'!$C$20-'Mass Ion Calculations'!$C34)/2-'Mass Ion Calculations'!$D$5,('Mass Ion Calculations'!$F$15+'AA Exact Masses'!$Q$3+'AA Exact Masses'!$Q$2-'Mass Ion Calculations'!$E$20-'Mass Ion Calculations'!$E34)/2-'Mass Ion Calculations'!$D$5)))</f>
        <v/>
      </c>
      <c r="R33" s="3" t="str">
        <f>IF(OR($B33="",R$3=""),"",IF('Mass Ion Calculations'!$D$6="Yes",IF('Mass Ion Calculations'!$D$7="Yes",('Mass Ion Calculations'!$D$18+'AA Exact Masses'!$Q$3+'AA Exact Masses'!$Q$2-'Mass Ion Calculations'!$C$21-'Mass Ion Calculations'!$C34)/2-'Mass Ion Calculations'!$D$5,('Mass Ion Calculations'!$F$18+'AA Exact Masses'!$Q$3+'AA Exact Masses'!$Q$2-'Mass Ion Calculations'!$E$21-'Mass Ion Calculations'!$E34)/2-'Mass Ion Calculations'!$D$5),IF('Mass Ion Calculations'!$D$7="Yes", ('Mass Ion Calculations'!$D$15+'AA Exact Masses'!$Q$3+'AA Exact Masses'!$Q$2-'Mass Ion Calculations'!$C$21-'Mass Ion Calculations'!$C34)/2-'Mass Ion Calculations'!$D$5,('Mass Ion Calculations'!$F$15+'AA Exact Masses'!$Q$3+'AA Exact Masses'!$Q$2-'Mass Ion Calculations'!$E$21-'Mass Ion Calculations'!$E34)/2-'Mass Ion Calculations'!$D$5)))</f>
        <v/>
      </c>
      <c r="S33" s="3" t="str">
        <f>IF(OR($B33="",S$3=""),"",IF('Mass Ion Calculations'!$D$6="Yes",IF('Mass Ion Calculations'!$D$7="Yes",('Mass Ion Calculations'!$D$18+'AA Exact Masses'!$Q$3+'AA Exact Masses'!$Q$2-'Mass Ion Calculations'!$C$22-'Mass Ion Calculations'!$C34)/2-'Mass Ion Calculations'!$D$5,('Mass Ion Calculations'!$F$18+'AA Exact Masses'!$Q$3+'AA Exact Masses'!$Q$2-'Mass Ion Calculations'!$E$22-'Mass Ion Calculations'!$E34)/2-'Mass Ion Calculations'!$D$5),IF('Mass Ion Calculations'!$D$7="Yes", ('Mass Ion Calculations'!$D$15+'AA Exact Masses'!$Q$3+'AA Exact Masses'!$Q$2-'Mass Ion Calculations'!$C$22-'Mass Ion Calculations'!$C34)/2-'Mass Ion Calculations'!$D$5,('Mass Ion Calculations'!$F$15+'AA Exact Masses'!$Q$3+'AA Exact Masses'!$Q$2-'Mass Ion Calculations'!$E$22-'Mass Ion Calculations'!$E34)/2-'Mass Ion Calculations'!$D$5)))</f>
        <v/>
      </c>
    </row>
    <row r="34" spans="3:19" x14ac:dyDescent="0.25">
      <c r="C34" s="3" t="str">
        <f>IF(OR($B34="",C$3=""),"",IF('Mass Ion Calculations'!$D$6="Yes",IF('Mass Ion Calculations'!$D$7="Yes",('Mass Ion Calculations'!$D$18+'AA Exact Masses'!$Q$3+'AA Exact Masses'!$Q$2-'Mass Ion Calculations'!$C$5-'Mass Ion Calculations'!$C35)/2-'Mass Ion Calculations'!$D$5,('Mass Ion Calculations'!$F$18+'AA Exact Masses'!$Q$3+'AA Exact Masses'!$Q$2-'Mass Ion Calculations'!$E$5-'Mass Ion Calculations'!$E35)/2-'Mass Ion Calculations'!$D$5),IF('Mass Ion Calculations'!$D$7="Yes", ('Mass Ion Calculations'!$D$15+'AA Exact Masses'!$Q$3+'AA Exact Masses'!$Q$2-'Mass Ion Calculations'!$C$5-'Mass Ion Calculations'!$C35)/2-'Mass Ion Calculations'!$D$5,('Mass Ion Calculations'!$F$15+'AA Exact Masses'!$Q$3+'AA Exact Masses'!$Q$2-'Mass Ion Calculations'!$E$5-'Mass Ion Calculations'!$E35)/2-'Mass Ion Calculations'!$D$5)))</f>
        <v/>
      </c>
      <c r="D34" s="3" t="str">
        <f>IF(OR($B34="",D$3=""),"",IF('Mass Ion Calculations'!$D$6="Yes",IF('Mass Ion Calculations'!$D$7="Yes",('Mass Ion Calculations'!$D$18+'AA Exact Masses'!$Q$3+'AA Exact Masses'!$Q$2-'Mass Ion Calculations'!$C$6-'Mass Ion Calculations'!$C35)/2-'Mass Ion Calculations'!$D$5,('Mass Ion Calculations'!$F$18+'AA Exact Masses'!$Q$3+'AA Exact Masses'!$Q$2-'Mass Ion Calculations'!$E$6-'Mass Ion Calculations'!$E35)/2-'Mass Ion Calculations'!$D$5),IF('Mass Ion Calculations'!$D$7="Yes", ('Mass Ion Calculations'!$D$15+'AA Exact Masses'!$Q$3+'AA Exact Masses'!$Q$2-'Mass Ion Calculations'!$C$6-'Mass Ion Calculations'!$C35)/2-'Mass Ion Calculations'!$D$5,('Mass Ion Calculations'!$F$15+'AA Exact Masses'!$Q$3+'AA Exact Masses'!$Q$2-'Mass Ion Calculations'!$E$6-'Mass Ion Calculations'!$E35)/2-'Mass Ion Calculations'!$D$5)))</f>
        <v/>
      </c>
      <c r="E34" s="3" t="str">
        <f>IF(OR($B34="",E$3=""),"",IF('Mass Ion Calculations'!$D$6="Yes",IF('Mass Ion Calculations'!$D$7="Yes",('Mass Ion Calculations'!$D$18+'AA Exact Masses'!$Q$3+'AA Exact Masses'!$Q$2-'Mass Ion Calculations'!$C$7-'Mass Ion Calculations'!$C35)/2-'Mass Ion Calculations'!$D$5,('Mass Ion Calculations'!$F$18+'AA Exact Masses'!$Q$3+'AA Exact Masses'!$Q$2-'Mass Ion Calculations'!$E$7-'Mass Ion Calculations'!$E35)/2-'Mass Ion Calculations'!$D$5),IF('Mass Ion Calculations'!$D$7="Yes", ('Mass Ion Calculations'!$D$15+'AA Exact Masses'!$Q$3+'AA Exact Masses'!$Q$2-'Mass Ion Calculations'!$C$7-'Mass Ion Calculations'!$C35)/2-'Mass Ion Calculations'!$D$5,('Mass Ion Calculations'!$F$15+'AA Exact Masses'!$Q$3+'AA Exact Masses'!$Q$2-'Mass Ion Calculations'!$E$7-'Mass Ion Calculations'!$E35)/2-'Mass Ion Calculations'!$D$5)))</f>
        <v/>
      </c>
      <c r="F34" s="3" t="str">
        <f>IF(OR($B34="",F$3=""),"",IF('Mass Ion Calculations'!$D$6="Yes",IF('Mass Ion Calculations'!$D$7="Yes",('Mass Ion Calculations'!$D$18+'AA Exact Masses'!$Q$3+'AA Exact Masses'!$Q$2-'Mass Ion Calculations'!$C$8-'Mass Ion Calculations'!$C35)/2-'Mass Ion Calculations'!$D$5,('Mass Ion Calculations'!$F$18+'AA Exact Masses'!$Q$3+'AA Exact Masses'!$Q$2-'Mass Ion Calculations'!$E$8-'Mass Ion Calculations'!$E35)/2-'Mass Ion Calculations'!$D$5),IF('Mass Ion Calculations'!$D$7="Yes", ('Mass Ion Calculations'!$D$15+'AA Exact Masses'!$Q$3+'AA Exact Masses'!$Q$2-'Mass Ion Calculations'!$C$8-'Mass Ion Calculations'!$C35)/2-'Mass Ion Calculations'!$D$5,('Mass Ion Calculations'!$F$15+'AA Exact Masses'!$Q$3+'AA Exact Masses'!$Q$2-'Mass Ion Calculations'!$E$8-'Mass Ion Calculations'!$E35)/2-'Mass Ion Calculations'!$D$5)))</f>
        <v/>
      </c>
      <c r="G34" s="3" t="str">
        <f>IF(OR($B34="",G$3=""),"",IF('Mass Ion Calculations'!$D$6="Yes",IF('Mass Ion Calculations'!$D$7="Yes",('Mass Ion Calculations'!$D$18+'AA Exact Masses'!$Q$3+'AA Exact Masses'!$Q$2-'Mass Ion Calculations'!$C$9-'Mass Ion Calculations'!$C35)/2-'Mass Ion Calculations'!$D$5,('Mass Ion Calculations'!$F$18+'AA Exact Masses'!$Q$3+'AA Exact Masses'!$Q$2-'Mass Ion Calculations'!$E$9-'Mass Ion Calculations'!$E35)/2-'Mass Ion Calculations'!$D$5),IF('Mass Ion Calculations'!$D$7="Yes", ('Mass Ion Calculations'!$D$15+'AA Exact Masses'!$Q$3+'AA Exact Masses'!$Q$2-'Mass Ion Calculations'!$C$9-'Mass Ion Calculations'!$C35)/2-'Mass Ion Calculations'!$D$5,('Mass Ion Calculations'!$F$15+'AA Exact Masses'!$Q$3+'AA Exact Masses'!$Q$2-'Mass Ion Calculations'!$E$9-'Mass Ion Calculations'!$E35)/2-'Mass Ion Calculations'!$D$5)))</f>
        <v/>
      </c>
      <c r="H34" s="3" t="str">
        <f>IF(OR($B34="",H$3=""),"",IF('Mass Ion Calculations'!$D$6="Yes",IF('Mass Ion Calculations'!$D$7="Yes",('Mass Ion Calculations'!$D$18+'AA Exact Masses'!$Q$3+'AA Exact Masses'!$Q$2-'Mass Ion Calculations'!$C$10-'Mass Ion Calculations'!$C35)/2-'Mass Ion Calculations'!$D$5,('Mass Ion Calculations'!$F$18+'AA Exact Masses'!$Q$3+'AA Exact Masses'!$Q$2-'Mass Ion Calculations'!$E$10-'Mass Ion Calculations'!$E35)/2-'Mass Ion Calculations'!$D$5),IF('Mass Ion Calculations'!$D$7="Yes", ('Mass Ion Calculations'!$D$15+'AA Exact Masses'!$Q$3+'AA Exact Masses'!$Q$2-'Mass Ion Calculations'!$C$10-'Mass Ion Calculations'!$C35)/2-'Mass Ion Calculations'!$D$5,('Mass Ion Calculations'!$F$15+'AA Exact Masses'!$Q$3+'AA Exact Masses'!$Q$2-'Mass Ion Calculations'!$E$10-'Mass Ion Calculations'!$E35)/2-'Mass Ion Calculations'!$D$5)))</f>
        <v/>
      </c>
      <c r="I34" s="3" t="str">
        <f>IF(OR($B34="",I$3=""),"",IF('Mass Ion Calculations'!$D$6="Yes",IF('Mass Ion Calculations'!$D$7="Yes",('Mass Ion Calculations'!$D$18+'AA Exact Masses'!$Q$3+'AA Exact Masses'!$Q$2-'Mass Ion Calculations'!$C$11-'Mass Ion Calculations'!$C35)/2-'Mass Ion Calculations'!$D$5,('Mass Ion Calculations'!$F$18+'AA Exact Masses'!$Q$3+'AA Exact Masses'!$Q$2-'Mass Ion Calculations'!$E$11-'Mass Ion Calculations'!$E35)/2-'Mass Ion Calculations'!$D$5),IF('Mass Ion Calculations'!$D$7="Yes", ('Mass Ion Calculations'!$D$15+'AA Exact Masses'!$Q$3+'AA Exact Masses'!$Q$2-'Mass Ion Calculations'!$C$11-'Mass Ion Calculations'!$C35)/2-'Mass Ion Calculations'!$D$5,('Mass Ion Calculations'!$F$15+'AA Exact Masses'!$Q$3+'AA Exact Masses'!$Q$2-'Mass Ion Calculations'!$E$11-'Mass Ion Calculations'!$E35)/2-'Mass Ion Calculations'!$D$5)))</f>
        <v/>
      </c>
      <c r="J34" s="3" t="str">
        <f>IF(OR($B34="",J$3=""),"",IF('Mass Ion Calculations'!$D$6="Yes",IF('Mass Ion Calculations'!$D$7="Yes",('Mass Ion Calculations'!$D$18+'AA Exact Masses'!$Q$3+'AA Exact Masses'!$Q$2-'Mass Ion Calculations'!$C$12-'Mass Ion Calculations'!$C35)/2-'Mass Ion Calculations'!$D$5,('Mass Ion Calculations'!$F$18+'AA Exact Masses'!$Q$3+'AA Exact Masses'!$Q$2-'Mass Ion Calculations'!$E$12-'Mass Ion Calculations'!$E35)/2-'Mass Ion Calculations'!$D$5),IF('Mass Ion Calculations'!$D$7="Yes", ('Mass Ion Calculations'!$D$15+'AA Exact Masses'!$Q$3+'AA Exact Masses'!$Q$2-'Mass Ion Calculations'!$C$12-'Mass Ion Calculations'!$C35)/2-'Mass Ion Calculations'!$D$5,('Mass Ion Calculations'!$F$15+'AA Exact Masses'!$Q$3+'AA Exact Masses'!$Q$2-'Mass Ion Calculations'!$E$12-'Mass Ion Calculations'!$E35)/2-'Mass Ion Calculations'!$D$5)))</f>
        <v/>
      </c>
      <c r="K34" s="3" t="str">
        <f>IF(OR($B34="",K$3=""),"",IF('Mass Ion Calculations'!$D$6="Yes",IF('Mass Ion Calculations'!$D$7="Yes",('Mass Ion Calculations'!$D$18+'AA Exact Masses'!$Q$3+'AA Exact Masses'!$Q$2-'Mass Ion Calculations'!$C$13-'Mass Ion Calculations'!$C35)/2-'Mass Ion Calculations'!$D$5,('Mass Ion Calculations'!$F$18+'AA Exact Masses'!$Q$3+'AA Exact Masses'!$Q$2-'Mass Ion Calculations'!$E$14-'Mass Ion Calculations'!$E35)/2-'Mass Ion Calculations'!$D$5),IF('Mass Ion Calculations'!$D$7="Yes", ('Mass Ion Calculations'!$D$15+'AA Exact Masses'!$Q$3+'AA Exact Masses'!$Q$2-'Mass Ion Calculations'!$C$13-'Mass Ion Calculations'!$C35)/2-'Mass Ion Calculations'!$D$5,('Mass Ion Calculations'!$F$15+'AA Exact Masses'!$Q$3+'AA Exact Masses'!$Q$2-'Mass Ion Calculations'!$E$14-'Mass Ion Calculations'!$E35)/2-'Mass Ion Calculations'!$D$5)))</f>
        <v/>
      </c>
      <c r="L34" s="3" t="str">
        <f>IF(OR($B34="",L$3=""),"",IF('Mass Ion Calculations'!$D$6="Yes",IF('Mass Ion Calculations'!$D$7="Yes",('Mass Ion Calculations'!$D$18+'AA Exact Masses'!$Q$3+'AA Exact Masses'!$Q$2-'Mass Ion Calculations'!$C$14-'Mass Ion Calculations'!$C35)/2-'Mass Ion Calculations'!$D$5,('Mass Ion Calculations'!$F$18+'AA Exact Masses'!$Q$3+'AA Exact Masses'!$Q$2-'Mass Ion Calculations'!$E$15-'Mass Ion Calculations'!$E35)/2-'Mass Ion Calculations'!$D$5),IF('Mass Ion Calculations'!$D$7="Yes", ('Mass Ion Calculations'!$D$15+'AA Exact Masses'!$Q$3+'AA Exact Masses'!$Q$2-'Mass Ion Calculations'!$C$14-'Mass Ion Calculations'!$C35)/2-'Mass Ion Calculations'!$D$5,('Mass Ion Calculations'!$F$15+'AA Exact Masses'!$Q$3+'AA Exact Masses'!$Q$2-'Mass Ion Calculations'!$E$15-'Mass Ion Calculations'!$E35)/2-'Mass Ion Calculations'!$D$5)))</f>
        <v/>
      </c>
      <c r="M34" s="3" t="str">
        <f>IF(OR($B34="",M$3=""),"",IF('Mass Ion Calculations'!$D$6="Yes",IF('Mass Ion Calculations'!$D$7="Yes",('Mass Ion Calculations'!$D$18+'AA Exact Masses'!$Q$3+'AA Exact Masses'!$Q$2-'Mass Ion Calculations'!$C$15-'Mass Ion Calculations'!$C35)/2-'Mass Ion Calculations'!$D$5,('Mass Ion Calculations'!$F$18+'AA Exact Masses'!$Q$3+'AA Exact Masses'!$Q$2-'Mass Ion Calculations'!$E$16-'Mass Ion Calculations'!$E35)/2-'Mass Ion Calculations'!$D$5),IF('Mass Ion Calculations'!$D$7="Yes", ('Mass Ion Calculations'!$D$15+'AA Exact Masses'!$Q$3+'AA Exact Masses'!$Q$2-'Mass Ion Calculations'!$C$15-'Mass Ion Calculations'!$C35)/2-'Mass Ion Calculations'!$D$5,('Mass Ion Calculations'!$F$15+'AA Exact Masses'!$Q$3+'AA Exact Masses'!$Q$2-'Mass Ion Calculations'!$E$16-'Mass Ion Calculations'!$E35)/2-'Mass Ion Calculations'!$D$5)))</f>
        <v/>
      </c>
      <c r="N34" s="3" t="str">
        <f>IF(OR($B34="",N$3=""),"",IF('Mass Ion Calculations'!$D$6="Yes",IF('Mass Ion Calculations'!$D$7="Yes",('Mass Ion Calculations'!$D$18+'AA Exact Masses'!$Q$3+'AA Exact Masses'!$Q$2-'Mass Ion Calculations'!$C$16-'Mass Ion Calculations'!$C35)/2-'Mass Ion Calculations'!$D$5,('Mass Ion Calculations'!$F$18+'AA Exact Masses'!$Q$3+'AA Exact Masses'!$Q$2-'Mass Ion Calculations'!$E$17-'Mass Ion Calculations'!$E35)/2-'Mass Ion Calculations'!$D$5),IF('Mass Ion Calculations'!$D$7="Yes", ('Mass Ion Calculations'!$D$15+'AA Exact Masses'!$Q$3+'AA Exact Masses'!$Q$2-'Mass Ion Calculations'!$C$16-'Mass Ion Calculations'!$C35)/2-'Mass Ion Calculations'!$D$5,('Mass Ion Calculations'!$F$15+'AA Exact Masses'!$Q$3+'AA Exact Masses'!$Q$2-'Mass Ion Calculations'!$E$17-'Mass Ion Calculations'!$E35)/2-'Mass Ion Calculations'!$D$5)))</f>
        <v/>
      </c>
      <c r="O34" s="3" t="str">
        <f>IF(OR($B34="",O$3=""),"",IF('Mass Ion Calculations'!$D$6="Yes",IF('Mass Ion Calculations'!$D$7="Yes",('Mass Ion Calculations'!$D$18+'AA Exact Masses'!$Q$3+'AA Exact Masses'!$Q$2-'Mass Ion Calculations'!$C$17-'Mass Ion Calculations'!$C35)/2-'Mass Ion Calculations'!$D$5,('Mass Ion Calculations'!$F$18+'AA Exact Masses'!$Q$3+'AA Exact Masses'!$Q$2-'Mass Ion Calculations'!$E$18-'Mass Ion Calculations'!$E35)/2-'Mass Ion Calculations'!$D$5),IF('Mass Ion Calculations'!$D$7="Yes", ('Mass Ion Calculations'!$D$15+'AA Exact Masses'!$Q$3+'AA Exact Masses'!$Q$2-'Mass Ion Calculations'!$C$17-'Mass Ion Calculations'!$C35)/2-'Mass Ion Calculations'!$D$5,('Mass Ion Calculations'!$F$15+'AA Exact Masses'!$Q$3+'AA Exact Masses'!$Q$2-'Mass Ion Calculations'!$E$18-'Mass Ion Calculations'!$E35)/2-'Mass Ion Calculations'!$D$5)))</f>
        <v/>
      </c>
      <c r="P34" s="3" t="str">
        <f>IF(OR($B34="",P$3=""),"",IF('Mass Ion Calculations'!$D$6="Yes",IF('Mass Ion Calculations'!$D$7="Yes",('Mass Ion Calculations'!$D$18+'AA Exact Masses'!$Q$3+'AA Exact Masses'!$Q$2-'Mass Ion Calculations'!$C$19-'Mass Ion Calculations'!$C35)/2-'Mass Ion Calculations'!$D$5,('Mass Ion Calculations'!$F$18+'AA Exact Masses'!$Q$3+'AA Exact Masses'!$Q$2-'Mass Ion Calculations'!$E$19-'Mass Ion Calculations'!$E35)/2-'Mass Ion Calculations'!$D$5),IF('Mass Ion Calculations'!$D$7="Yes", ('Mass Ion Calculations'!$D$15+'AA Exact Masses'!$Q$3+'AA Exact Masses'!$Q$2-'Mass Ion Calculations'!$C$19-'Mass Ion Calculations'!$C35)/2-'Mass Ion Calculations'!$D$5,('Mass Ion Calculations'!$F$15+'AA Exact Masses'!$Q$3+'AA Exact Masses'!$Q$2-'Mass Ion Calculations'!$E$19-'Mass Ion Calculations'!$E35)/2-'Mass Ion Calculations'!$D$5)))</f>
        <v/>
      </c>
      <c r="Q34" s="3" t="str">
        <f>IF(OR($B34="",Q$3=""),"",IF('Mass Ion Calculations'!$D$6="Yes",IF('Mass Ion Calculations'!$D$7="Yes",('Mass Ion Calculations'!$D$18+'AA Exact Masses'!$Q$3+'AA Exact Masses'!$Q$2-'Mass Ion Calculations'!$C$20-'Mass Ion Calculations'!$C35)/2-'Mass Ion Calculations'!$D$5,('Mass Ion Calculations'!$F$18+'AA Exact Masses'!$Q$3+'AA Exact Masses'!$Q$2-'Mass Ion Calculations'!$E$20-'Mass Ion Calculations'!$E35)/2-'Mass Ion Calculations'!$D$5),IF('Mass Ion Calculations'!$D$7="Yes", ('Mass Ion Calculations'!$D$15+'AA Exact Masses'!$Q$3+'AA Exact Masses'!$Q$2-'Mass Ion Calculations'!$C$20-'Mass Ion Calculations'!$C35)/2-'Mass Ion Calculations'!$D$5,('Mass Ion Calculations'!$F$15+'AA Exact Masses'!$Q$3+'AA Exact Masses'!$Q$2-'Mass Ion Calculations'!$E$20-'Mass Ion Calculations'!$E35)/2-'Mass Ion Calculations'!$D$5)))</f>
        <v/>
      </c>
      <c r="R34" s="3" t="str">
        <f>IF(OR($B34="",R$3=""),"",IF('Mass Ion Calculations'!$D$6="Yes",IF('Mass Ion Calculations'!$D$7="Yes",('Mass Ion Calculations'!$D$18+'AA Exact Masses'!$Q$3+'AA Exact Masses'!$Q$2-'Mass Ion Calculations'!$C$21-'Mass Ion Calculations'!$C35)/2-'Mass Ion Calculations'!$D$5,('Mass Ion Calculations'!$F$18+'AA Exact Masses'!$Q$3+'AA Exact Masses'!$Q$2-'Mass Ion Calculations'!$E$21-'Mass Ion Calculations'!$E35)/2-'Mass Ion Calculations'!$D$5),IF('Mass Ion Calculations'!$D$7="Yes", ('Mass Ion Calculations'!$D$15+'AA Exact Masses'!$Q$3+'AA Exact Masses'!$Q$2-'Mass Ion Calculations'!$C$21-'Mass Ion Calculations'!$C35)/2-'Mass Ion Calculations'!$D$5,('Mass Ion Calculations'!$F$15+'AA Exact Masses'!$Q$3+'AA Exact Masses'!$Q$2-'Mass Ion Calculations'!$E$21-'Mass Ion Calculations'!$E35)/2-'Mass Ion Calculations'!$D$5)))</f>
        <v/>
      </c>
      <c r="S34" s="3" t="str">
        <f>IF(OR($B34="",S$3=""),"",IF('Mass Ion Calculations'!$D$6="Yes",IF('Mass Ion Calculations'!$D$7="Yes",('Mass Ion Calculations'!$D$18+'AA Exact Masses'!$Q$3+'AA Exact Masses'!$Q$2-'Mass Ion Calculations'!$C$22-'Mass Ion Calculations'!$C35)/2-'Mass Ion Calculations'!$D$5,('Mass Ion Calculations'!$F$18+'AA Exact Masses'!$Q$3+'AA Exact Masses'!$Q$2-'Mass Ion Calculations'!$E$22-'Mass Ion Calculations'!$E35)/2-'Mass Ion Calculations'!$D$5),IF('Mass Ion Calculations'!$D$7="Yes", ('Mass Ion Calculations'!$D$15+'AA Exact Masses'!$Q$3+'AA Exact Masses'!$Q$2-'Mass Ion Calculations'!$C$22-'Mass Ion Calculations'!$C35)/2-'Mass Ion Calculations'!$D$5,('Mass Ion Calculations'!$F$15+'AA Exact Masses'!$Q$3+'AA Exact Masses'!$Q$2-'Mass Ion Calculations'!$E$22-'Mass Ion Calculations'!$E35)/2-'Mass Ion Calculations'!$D$5)))</f>
        <v/>
      </c>
    </row>
    <row r="35" spans="3:19" x14ac:dyDescent="0.25">
      <c r="C35" s="3" t="str">
        <f>IF(OR($B35="",C$3=""),"",IF('Mass Ion Calculations'!$D$6="Yes",IF('Mass Ion Calculations'!$D$7="Yes",('Mass Ion Calculations'!$D$18+'AA Exact Masses'!$Q$3+'AA Exact Masses'!$Q$2-'Mass Ion Calculations'!$C$5-'Mass Ion Calculations'!$C36)/2-'Mass Ion Calculations'!$D$5,('Mass Ion Calculations'!$F$18+'AA Exact Masses'!$Q$3+'AA Exact Masses'!$Q$2-'Mass Ion Calculations'!$E$5-'Mass Ion Calculations'!$E36)/2-'Mass Ion Calculations'!$D$5),IF('Mass Ion Calculations'!$D$7="Yes", ('Mass Ion Calculations'!$D$15+'AA Exact Masses'!$Q$3+'AA Exact Masses'!$Q$2-'Mass Ion Calculations'!$C$5-'Mass Ion Calculations'!$C36)/2-'Mass Ion Calculations'!$D$5,('Mass Ion Calculations'!$F$15+'AA Exact Masses'!$Q$3+'AA Exact Masses'!$Q$2-'Mass Ion Calculations'!$E$5-'Mass Ion Calculations'!$E36)/2-'Mass Ion Calculations'!$D$5)))</f>
        <v/>
      </c>
      <c r="D35" s="3" t="str">
        <f>IF(OR($B35="",D$3=""),"",IF('Mass Ion Calculations'!$D$6="Yes",IF('Mass Ion Calculations'!$D$7="Yes",('Mass Ion Calculations'!$D$18+'AA Exact Masses'!$Q$3+'AA Exact Masses'!$Q$2-'Mass Ion Calculations'!$C$6-'Mass Ion Calculations'!$C36)/2-'Mass Ion Calculations'!$D$5,('Mass Ion Calculations'!$F$18+'AA Exact Masses'!$Q$3+'AA Exact Masses'!$Q$2-'Mass Ion Calculations'!$E$6-'Mass Ion Calculations'!$E36)/2-'Mass Ion Calculations'!$D$5),IF('Mass Ion Calculations'!$D$7="Yes", ('Mass Ion Calculations'!$D$15+'AA Exact Masses'!$Q$3+'AA Exact Masses'!$Q$2-'Mass Ion Calculations'!$C$6-'Mass Ion Calculations'!$C36)/2-'Mass Ion Calculations'!$D$5,('Mass Ion Calculations'!$F$15+'AA Exact Masses'!$Q$3+'AA Exact Masses'!$Q$2-'Mass Ion Calculations'!$E$6-'Mass Ion Calculations'!$E36)/2-'Mass Ion Calculations'!$D$5)))</f>
        <v/>
      </c>
      <c r="E35" s="3" t="str">
        <f>IF(OR($B35="",E$3=""),"",IF('Mass Ion Calculations'!$D$6="Yes",IF('Mass Ion Calculations'!$D$7="Yes",('Mass Ion Calculations'!$D$18+'AA Exact Masses'!$Q$3+'AA Exact Masses'!$Q$2-'Mass Ion Calculations'!$C$7-'Mass Ion Calculations'!$C36)/2-'Mass Ion Calculations'!$D$5,('Mass Ion Calculations'!$F$18+'AA Exact Masses'!$Q$3+'AA Exact Masses'!$Q$2-'Mass Ion Calculations'!$E$7-'Mass Ion Calculations'!$E36)/2-'Mass Ion Calculations'!$D$5),IF('Mass Ion Calculations'!$D$7="Yes", ('Mass Ion Calculations'!$D$15+'AA Exact Masses'!$Q$3+'AA Exact Masses'!$Q$2-'Mass Ion Calculations'!$C$7-'Mass Ion Calculations'!$C36)/2-'Mass Ion Calculations'!$D$5,('Mass Ion Calculations'!$F$15+'AA Exact Masses'!$Q$3+'AA Exact Masses'!$Q$2-'Mass Ion Calculations'!$E$7-'Mass Ion Calculations'!$E36)/2-'Mass Ion Calculations'!$D$5)))</f>
        <v/>
      </c>
      <c r="F35" s="3" t="str">
        <f>IF(OR($B35="",F$3=""),"",IF('Mass Ion Calculations'!$D$6="Yes",IF('Mass Ion Calculations'!$D$7="Yes",('Mass Ion Calculations'!$D$18+'AA Exact Masses'!$Q$3+'AA Exact Masses'!$Q$2-'Mass Ion Calculations'!$C$8-'Mass Ion Calculations'!$C36)/2-'Mass Ion Calculations'!$D$5,('Mass Ion Calculations'!$F$18+'AA Exact Masses'!$Q$3+'AA Exact Masses'!$Q$2-'Mass Ion Calculations'!$E$8-'Mass Ion Calculations'!$E36)/2-'Mass Ion Calculations'!$D$5),IF('Mass Ion Calculations'!$D$7="Yes", ('Mass Ion Calculations'!$D$15+'AA Exact Masses'!$Q$3+'AA Exact Masses'!$Q$2-'Mass Ion Calculations'!$C$8-'Mass Ion Calculations'!$C36)/2-'Mass Ion Calculations'!$D$5,('Mass Ion Calculations'!$F$15+'AA Exact Masses'!$Q$3+'AA Exact Masses'!$Q$2-'Mass Ion Calculations'!$E$8-'Mass Ion Calculations'!$E36)/2-'Mass Ion Calculations'!$D$5)))</f>
        <v/>
      </c>
      <c r="G35" s="3" t="str">
        <f>IF(OR($B35="",G$3=""),"",IF('Mass Ion Calculations'!$D$6="Yes",IF('Mass Ion Calculations'!$D$7="Yes",('Mass Ion Calculations'!$D$18+'AA Exact Masses'!$Q$3+'AA Exact Masses'!$Q$2-'Mass Ion Calculations'!$C$9-'Mass Ion Calculations'!$C36)/2-'Mass Ion Calculations'!$D$5,('Mass Ion Calculations'!$F$18+'AA Exact Masses'!$Q$3+'AA Exact Masses'!$Q$2-'Mass Ion Calculations'!$E$9-'Mass Ion Calculations'!$E36)/2-'Mass Ion Calculations'!$D$5),IF('Mass Ion Calculations'!$D$7="Yes", ('Mass Ion Calculations'!$D$15+'AA Exact Masses'!$Q$3+'AA Exact Masses'!$Q$2-'Mass Ion Calculations'!$C$9-'Mass Ion Calculations'!$C36)/2-'Mass Ion Calculations'!$D$5,('Mass Ion Calculations'!$F$15+'AA Exact Masses'!$Q$3+'AA Exact Masses'!$Q$2-'Mass Ion Calculations'!$E$9-'Mass Ion Calculations'!$E36)/2-'Mass Ion Calculations'!$D$5)))</f>
        <v/>
      </c>
      <c r="H35" s="3" t="str">
        <f>IF(OR($B35="",H$3=""),"",IF('Mass Ion Calculations'!$D$6="Yes",IF('Mass Ion Calculations'!$D$7="Yes",('Mass Ion Calculations'!$D$18+'AA Exact Masses'!$Q$3+'AA Exact Masses'!$Q$2-'Mass Ion Calculations'!$C$10-'Mass Ion Calculations'!$C36)/2-'Mass Ion Calculations'!$D$5,('Mass Ion Calculations'!$F$18+'AA Exact Masses'!$Q$3+'AA Exact Masses'!$Q$2-'Mass Ion Calculations'!$E$10-'Mass Ion Calculations'!$E36)/2-'Mass Ion Calculations'!$D$5),IF('Mass Ion Calculations'!$D$7="Yes", ('Mass Ion Calculations'!$D$15+'AA Exact Masses'!$Q$3+'AA Exact Masses'!$Q$2-'Mass Ion Calculations'!$C$10-'Mass Ion Calculations'!$C36)/2-'Mass Ion Calculations'!$D$5,('Mass Ion Calculations'!$F$15+'AA Exact Masses'!$Q$3+'AA Exact Masses'!$Q$2-'Mass Ion Calculations'!$E$10-'Mass Ion Calculations'!$E36)/2-'Mass Ion Calculations'!$D$5)))</f>
        <v/>
      </c>
      <c r="I35" s="3" t="str">
        <f>IF(OR($B35="",I$3=""),"",IF('Mass Ion Calculations'!$D$6="Yes",IF('Mass Ion Calculations'!$D$7="Yes",('Mass Ion Calculations'!$D$18+'AA Exact Masses'!$Q$3+'AA Exact Masses'!$Q$2-'Mass Ion Calculations'!$C$11-'Mass Ion Calculations'!$C36)/2-'Mass Ion Calculations'!$D$5,('Mass Ion Calculations'!$F$18+'AA Exact Masses'!$Q$3+'AA Exact Masses'!$Q$2-'Mass Ion Calculations'!$E$11-'Mass Ion Calculations'!$E36)/2-'Mass Ion Calculations'!$D$5),IF('Mass Ion Calculations'!$D$7="Yes", ('Mass Ion Calculations'!$D$15+'AA Exact Masses'!$Q$3+'AA Exact Masses'!$Q$2-'Mass Ion Calculations'!$C$11-'Mass Ion Calculations'!$C36)/2-'Mass Ion Calculations'!$D$5,('Mass Ion Calculations'!$F$15+'AA Exact Masses'!$Q$3+'AA Exact Masses'!$Q$2-'Mass Ion Calculations'!$E$11-'Mass Ion Calculations'!$E36)/2-'Mass Ion Calculations'!$D$5)))</f>
        <v/>
      </c>
      <c r="J35" s="3" t="str">
        <f>IF(OR($B35="",J$3=""),"",IF('Mass Ion Calculations'!$D$6="Yes",IF('Mass Ion Calculations'!$D$7="Yes",('Mass Ion Calculations'!$D$18+'AA Exact Masses'!$Q$3+'AA Exact Masses'!$Q$2-'Mass Ion Calculations'!$C$12-'Mass Ion Calculations'!$C36)/2-'Mass Ion Calculations'!$D$5,('Mass Ion Calculations'!$F$18+'AA Exact Masses'!$Q$3+'AA Exact Masses'!$Q$2-'Mass Ion Calculations'!$E$12-'Mass Ion Calculations'!$E36)/2-'Mass Ion Calculations'!$D$5),IF('Mass Ion Calculations'!$D$7="Yes", ('Mass Ion Calculations'!$D$15+'AA Exact Masses'!$Q$3+'AA Exact Masses'!$Q$2-'Mass Ion Calculations'!$C$12-'Mass Ion Calculations'!$C36)/2-'Mass Ion Calculations'!$D$5,('Mass Ion Calculations'!$F$15+'AA Exact Masses'!$Q$3+'AA Exact Masses'!$Q$2-'Mass Ion Calculations'!$E$12-'Mass Ion Calculations'!$E36)/2-'Mass Ion Calculations'!$D$5)))</f>
        <v/>
      </c>
      <c r="K35" s="3" t="str">
        <f>IF(OR($B35="",K$3=""),"",IF('Mass Ion Calculations'!$D$6="Yes",IF('Mass Ion Calculations'!$D$7="Yes",('Mass Ion Calculations'!$D$18+'AA Exact Masses'!$Q$3+'AA Exact Masses'!$Q$2-'Mass Ion Calculations'!$C$13-'Mass Ion Calculations'!$C36)/2-'Mass Ion Calculations'!$D$5,('Mass Ion Calculations'!$F$18+'AA Exact Masses'!$Q$3+'AA Exact Masses'!$Q$2-'Mass Ion Calculations'!$E$14-'Mass Ion Calculations'!$E36)/2-'Mass Ion Calculations'!$D$5),IF('Mass Ion Calculations'!$D$7="Yes", ('Mass Ion Calculations'!$D$15+'AA Exact Masses'!$Q$3+'AA Exact Masses'!$Q$2-'Mass Ion Calculations'!$C$13-'Mass Ion Calculations'!$C36)/2-'Mass Ion Calculations'!$D$5,('Mass Ion Calculations'!$F$15+'AA Exact Masses'!$Q$3+'AA Exact Masses'!$Q$2-'Mass Ion Calculations'!$E$14-'Mass Ion Calculations'!$E36)/2-'Mass Ion Calculations'!$D$5)))</f>
        <v/>
      </c>
      <c r="L35" s="3" t="str">
        <f>IF(OR($B35="",L$3=""),"",IF('Mass Ion Calculations'!$D$6="Yes",IF('Mass Ion Calculations'!$D$7="Yes",('Mass Ion Calculations'!$D$18+'AA Exact Masses'!$Q$3+'AA Exact Masses'!$Q$2-'Mass Ion Calculations'!$C$14-'Mass Ion Calculations'!$C36)/2-'Mass Ion Calculations'!$D$5,('Mass Ion Calculations'!$F$18+'AA Exact Masses'!$Q$3+'AA Exact Masses'!$Q$2-'Mass Ion Calculations'!$E$15-'Mass Ion Calculations'!$E36)/2-'Mass Ion Calculations'!$D$5),IF('Mass Ion Calculations'!$D$7="Yes", ('Mass Ion Calculations'!$D$15+'AA Exact Masses'!$Q$3+'AA Exact Masses'!$Q$2-'Mass Ion Calculations'!$C$14-'Mass Ion Calculations'!$C36)/2-'Mass Ion Calculations'!$D$5,('Mass Ion Calculations'!$F$15+'AA Exact Masses'!$Q$3+'AA Exact Masses'!$Q$2-'Mass Ion Calculations'!$E$15-'Mass Ion Calculations'!$E36)/2-'Mass Ion Calculations'!$D$5)))</f>
        <v/>
      </c>
      <c r="M35" s="3" t="str">
        <f>IF(OR($B35="",M$3=""),"",IF('Mass Ion Calculations'!$D$6="Yes",IF('Mass Ion Calculations'!$D$7="Yes",('Mass Ion Calculations'!$D$18+'AA Exact Masses'!$Q$3+'AA Exact Masses'!$Q$2-'Mass Ion Calculations'!$C$15-'Mass Ion Calculations'!$C36)/2-'Mass Ion Calculations'!$D$5,('Mass Ion Calculations'!$F$18+'AA Exact Masses'!$Q$3+'AA Exact Masses'!$Q$2-'Mass Ion Calculations'!$E$16-'Mass Ion Calculations'!$E36)/2-'Mass Ion Calculations'!$D$5),IF('Mass Ion Calculations'!$D$7="Yes", ('Mass Ion Calculations'!$D$15+'AA Exact Masses'!$Q$3+'AA Exact Masses'!$Q$2-'Mass Ion Calculations'!$C$15-'Mass Ion Calculations'!$C36)/2-'Mass Ion Calculations'!$D$5,('Mass Ion Calculations'!$F$15+'AA Exact Masses'!$Q$3+'AA Exact Masses'!$Q$2-'Mass Ion Calculations'!$E$16-'Mass Ion Calculations'!$E36)/2-'Mass Ion Calculations'!$D$5)))</f>
        <v/>
      </c>
      <c r="N35" s="3" t="str">
        <f>IF(OR($B35="",N$3=""),"",IF('Mass Ion Calculations'!$D$6="Yes",IF('Mass Ion Calculations'!$D$7="Yes",('Mass Ion Calculations'!$D$18+'AA Exact Masses'!$Q$3+'AA Exact Masses'!$Q$2-'Mass Ion Calculations'!$C$16-'Mass Ion Calculations'!$C36)/2-'Mass Ion Calculations'!$D$5,('Mass Ion Calculations'!$F$18+'AA Exact Masses'!$Q$3+'AA Exact Masses'!$Q$2-'Mass Ion Calculations'!$E$17-'Mass Ion Calculations'!$E36)/2-'Mass Ion Calculations'!$D$5),IF('Mass Ion Calculations'!$D$7="Yes", ('Mass Ion Calculations'!$D$15+'AA Exact Masses'!$Q$3+'AA Exact Masses'!$Q$2-'Mass Ion Calculations'!$C$16-'Mass Ion Calculations'!$C36)/2-'Mass Ion Calculations'!$D$5,('Mass Ion Calculations'!$F$15+'AA Exact Masses'!$Q$3+'AA Exact Masses'!$Q$2-'Mass Ion Calculations'!$E$17-'Mass Ion Calculations'!$E36)/2-'Mass Ion Calculations'!$D$5)))</f>
        <v/>
      </c>
      <c r="O35" s="3" t="str">
        <f>IF(OR($B35="",O$3=""),"",IF('Mass Ion Calculations'!$D$6="Yes",IF('Mass Ion Calculations'!$D$7="Yes",('Mass Ion Calculations'!$D$18+'AA Exact Masses'!$Q$3+'AA Exact Masses'!$Q$2-'Mass Ion Calculations'!$C$17-'Mass Ion Calculations'!$C36)/2-'Mass Ion Calculations'!$D$5,('Mass Ion Calculations'!$F$18+'AA Exact Masses'!$Q$3+'AA Exact Masses'!$Q$2-'Mass Ion Calculations'!$E$18-'Mass Ion Calculations'!$E36)/2-'Mass Ion Calculations'!$D$5),IF('Mass Ion Calculations'!$D$7="Yes", ('Mass Ion Calculations'!$D$15+'AA Exact Masses'!$Q$3+'AA Exact Masses'!$Q$2-'Mass Ion Calculations'!$C$17-'Mass Ion Calculations'!$C36)/2-'Mass Ion Calculations'!$D$5,('Mass Ion Calculations'!$F$15+'AA Exact Masses'!$Q$3+'AA Exact Masses'!$Q$2-'Mass Ion Calculations'!$E$18-'Mass Ion Calculations'!$E36)/2-'Mass Ion Calculations'!$D$5)))</f>
        <v/>
      </c>
      <c r="P35" s="3" t="str">
        <f>IF(OR($B35="",P$3=""),"",IF('Mass Ion Calculations'!$D$6="Yes",IF('Mass Ion Calculations'!$D$7="Yes",('Mass Ion Calculations'!$D$18+'AA Exact Masses'!$Q$3+'AA Exact Masses'!$Q$2-'Mass Ion Calculations'!$C$19-'Mass Ion Calculations'!$C36)/2-'Mass Ion Calculations'!$D$5,('Mass Ion Calculations'!$F$18+'AA Exact Masses'!$Q$3+'AA Exact Masses'!$Q$2-'Mass Ion Calculations'!$E$19-'Mass Ion Calculations'!$E36)/2-'Mass Ion Calculations'!$D$5),IF('Mass Ion Calculations'!$D$7="Yes", ('Mass Ion Calculations'!$D$15+'AA Exact Masses'!$Q$3+'AA Exact Masses'!$Q$2-'Mass Ion Calculations'!$C$19-'Mass Ion Calculations'!$C36)/2-'Mass Ion Calculations'!$D$5,('Mass Ion Calculations'!$F$15+'AA Exact Masses'!$Q$3+'AA Exact Masses'!$Q$2-'Mass Ion Calculations'!$E$19-'Mass Ion Calculations'!$E36)/2-'Mass Ion Calculations'!$D$5)))</f>
        <v/>
      </c>
      <c r="Q35" s="3" t="str">
        <f>IF(OR($B35="",Q$3=""),"",IF('Mass Ion Calculations'!$D$6="Yes",IF('Mass Ion Calculations'!$D$7="Yes",('Mass Ion Calculations'!$D$18+'AA Exact Masses'!$Q$3+'AA Exact Masses'!$Q$2-'Mass Ion Calculations'!$C$20-'Mass Ion Calculations'!$C36)/2-'Mass Ion Calculations'!$D$5,('Mass Ion Calculations'!$F$18+'AA Exact Masses'!$Q$3+'AA Exact Masses'!$Q$2-'Mass Ion Calculations'!$E$20-'Mass Ion Calculations'!$E36)/2-'Mass Ion Calculations'!$D$5),IF('Mass Ion Calculations'!$D$7="Yes", ('Mass Ion Calculations'!$D$15+'AA Exact Masses'!$Q$3+'AA Exact Masses'!$Q$2-'Mass Ion Calculations'!$C$20-'Mass Ion Calculations'!$C36)/2-'Mass Ion Calculations'!$D$5,('Mass Ion Calculations'!$F$15+'AA Exact Masses'!$Q$3+'AA Exact Masses'!$Q$2-'Mass Ion Calculations'!$E$20-'Mass Ion Calculations'!$E36)/2-'Mass Ion Calculations'!$D$5)))</f>
        <v/>
      </c>
      <c r="R35" s="3" t="str">
        <f>IF(OR($B35="",R$3=""),"",IF('Mass Ion Calculations'!$D$6="Yes",IF('Mass Ion Calculations'!$D$7="Yes",('Mass Ion Calculations'!$D$18+'AA Exact Masses'!$Q$3+'AA Exact Masses'!$Q$2-'Mass Ion Calculations'!$C$21-'Mass Ion Calculations'!$C36)/2-'Mass Ion Calculations'!$D$5,('Mass Ion Calculations'!$F$18+'AA Exact Masses'!$Q$3+'AA Exact Masses'!$Q$2-'Mass Ion Calculations'!$E$21-'Mass Ion Calculations'!$E36)/2-'Mass Ion Calculations'!$D$5),IF('Mass Ion Calculations'!$D$7="Yes", ('Mass Ion Calculations'!$D$15+'AA Exact Masses'!$Q$3+'AA Exact Masses'!$Q$2-'Mass Ion Calculations'!$C$21-'Mass Ion Calculations'!$C36)/2-'Mass Ion Calculations'!$D$5,('Mass Ion Calculations'!$F$15+'AA Exact Masses'!$Q$3+'AA Exact Masses'!$Q$2-'Mass Ion Calculations'!$E$21-'Mass Ion Calculations'!$E36)/2-'Mass Ion Calculations'!$D$5)))</f>
        <v/>
      </c>
      <c r="S35" s="3" t="str">
        <f>IF(OR($B35="",S$3=""),"",IF('Mass Ion Calculations'!$D$6="Yes",IF('Mass Ion Calculations'!$D$7="Yes",('Mass Ion Calculations'!$D$18+'AA Exact Masses'!$Q$3+'AA Exact Masses'!$Q$2-'Mass Ion Calculations'!$C$22-'Mass Ion Calculations'!$C36)/2-'Mass Ion Calculations'!$D$5,('Mass Ion Calculations'!$F$18+'AA Exact Masses'!$Q$3+'AA Exact Masses'!$Q$2-'Mass Ion Calculations'!$E$22-'Mass Ion Calculations'!$E36)/2-'Mass Ion Calculations'!$D$5),IF('Mass Ion Calculations'!$D$7="Yes", ('Mass Ion Calculations'!$D$15+'AA Exact Masses'!$Q$3+'AA Exact Masses'!$Q$2-'Mass Ion Calculations'!$C$22-'Mass Ion Calculations'!$C36)/2-'Mass Ion Calculations'!$D$5,('Mass Ion Calculations'!$F$15+'AA Exact Masses'!$Q$3+'AA Exact Masses'!$Q$2-'Mass Ion Calculations'!$E$22-'Mass Ion Calculations'!$E36)/2-'Mass Ion Calculations'!$D$5)))</f>
        <v/>
      </c>
    </row>
    <row r="36" spans="3:19" x14ac:dyDescent="0.25">
      <c r="C36" s="3" t="str">
        <f>IF(OR($B36="",C$3=""),"",IF('Mass Ion Calculations'!$D$6="Yes",IF('Mass Ion Calculations'!$D$7="Yes",('Mass Ion Calculations'!$D$18+'AA Exact Masses'!$Q$3+'AA Exact Masses'!$Q$2-'Mass Ion Calculations'!$C$5-'Mass Ion Calculations'!$C37)/2-'Mass Ion Calculations'!$D$5,('Mass Ion Calculations'!$F$18+'AA Exact Masses'!$Q$3+'AA Exact Masses'!$Q$2-'Mass Ion Calculations'!$E$5-'Mass Ion Calculations'!$E37)/2-'Mass Ion Calculations'!$D$5),IF('Mass Ion Calculations'!$D$7="Yes", ('Mass Ion Calculations'!$D$15+'AA Exact Masses'!$Q$3+'AA Exact Masses'!$Q$2-'Mass Ion Calculations'!$C$5-'Mass Ion Calculations'!$C37)/2-'Mass Ion Calculations'!$D$5,('Mass Ion Calculations'!$F$15+'AA Exact Masses'!$Q$3+'AA Exact Masses'!$Q$2-'Mass Ion Calculations'!$E$5-'Mass Ion Calculations'!$E37)/2-'Mass Ion Calculations'!$D$5)))</f>
        <v/>
      </c>
      <c r="D36" s="3" t="str">
        <f>IF(OR($B36="",D$3=""),"",IF('Mass Ion Calculations'!$D$6="Yes",IF('Mass Ion Calculations'!$D$7="Yes",('Mass Ion Calculations'!$D$18+'AA Exact Masses'!$Q$3+'AA Exact Masses'!$Q$2-'Mass Ion Calculations'!$C$6-'Mass Ion Calculations'!$C37)/2-'Mass Ion Calculations'!$D$5,('Mass Ion Calculations'!$F$18+'AA Exact Masses'!$Q$3+'AA Exact Masses'!$Q$2-'Mass Ion Calculations'!$E$6-'Mass Ion Calculations'!$E37)/2-'Mass Ion Calculations'!$D$5),IF('Mass Ion Calculations'!$D$7="Yes", ('Mass Ion Calculations'!$D$15+'AA Exact Masses'!$Q$3+'AA Exact Masses'!$Q$2-'Mass Ion Calculations'!$C$6-'Mass Ion Calculations'!$C37)/2-'Mass Ion Calculations'!$D$5,('Mass Ion Calculations'!$F$15+'AA Exact Masses'!$Q$3+'AA Exact Masses'!$Q$2-'Mass Ion Calculations'!$E$6-'Mass Ion Calculations'!$E37)/2-'Mass Ion Calculations'!$D$5)))</f>
        <v/>
      </c>
      <c r="E36" s="3" t="str">
        <f>IF(OR($B36="",E$3=""),"",IF('Mass Ion Calculations'!$D$6="Yes",IF('Mass Ion Calculations'!$D$7="Yes",('Mass Ion Calculations'!$D$18+'AA Exact Masses'!$Q$3+'AA Exact Masses'!$Q$2-'Mass Ion Calculations'!$C$7-'Mass Ion Calculations'!$C37)/2-'Mass Ion Calculations'!$D$5,('Mass Ion Calculations'!$F$18+'AA Exact Masses'!$Q$3+'AA Exact Masses'!$Q$2-'Mass Ion Calculations'!$E$7-'Mass Ion Calculations'!$E37)/2-'Mass Ion Calculations'!$D$5),IF('Mass Ion Calculations'!$D$7="Yes", ('Mass Ion Calculations'!$D$15+'AA Exact Masses'!$Q$3+'AA Exact Masses'!$Q$2-'Mass Ion Calculations'!$C$7-'Mass Ion Calculations'!$C37)/2-'Mass Ion Calculations'!$D$5,('Mass Ion Calculations'!$F$15+'AA Exact Masses'!$Q$3+'AA Exact Masses'!$Q$2-'Mass Ion Calculations'!$E$7-'Mass Ion Calculations'!$E37)/2-'Mass Ion Calculations'!$D$5)))</f>
        <v/>
      </c>
      <c r="F36" s="3" t="str">
        <f>IF(OR($B36="",F$3=""),"",IF('Mass Ion Calculations'!$D$6="Yes",IF('Mass Ion Calculations'!$D$7="Yes",('Mass Ion Calculations'!$D$18+'AA Exact Masses'!$Q$3+'AA Exact Masses'!$Q$2-'Mass Ion Calculations'!$C$8-'Mass Ion Calculations'!$C37)/2-'Mass Ion Calculations'!$D$5,('Mass Ion Calculations'!$F$18+'AA Exact Masses'!$Q$3+'AA Exact Masses'!$Q$2-'Mass Ion Calculations'!$E$8-'Mass Ion Calculations'!$E37)/2-'Mass Ion Calculations'!$D$5),IF('Mass Ion Calculations'!$D$7="Yes", ('Mass Ion Calculations'!$D$15+'AA Exact Masses'!$Q$3+'AA Exact Masses'!$Q$2-'Mass Ion Calculations'!$C$8-'Mass Ion Calculations'!$C37)/2-'Mass Ion Calculations'!$D$5,('Mass Ion Calculations'!$F$15+'AA Exact Masses'!$Q$3+'AA Exact Masses'!$Q$2-'Mass Ion Calculations'!$E$8-'Mass Ion Calculations'!$E37)/2-'Mass Ion Calculations'!$D$5)))</f>
        <v/>
      </c>
      <c r="G36" s="3" t="str">
        <f>IF(OR($B36="",G$3=""),"",IF('Mass Ion Calculations'!$D$6="Yes",IF('Mass Ion Calculations'!$D$7="Yes",('Mass Ion Calculations'!$D$18+'AA Exact Masses'!$Q$3+'AA Exact Masses'!$Q$2-'Mass Ion Calculations'!$C$9-'Mass Ion Calculations'!$C37)/2-'Mass Ion Calculations'!$D$5,('Mass Ion Calculations'!$F$18+'AA Exact Masses'!$Q$3+'AA Exact Masses'!$Q$2-'Mass Ion Calculations'!$E$9-'Mass Ion Calculations'!$E37)/2-'Mass Ion Calculations'!$D$5),IF('Mass Ion Calculations'!$D$7="Yes", ('Mass Ion Calculations'!$D$15+'AA Exact Masses'!$Q$3+'AA Exact Masses'!$Q$2-'Mass Ion Calculations'!$C$9-'Mass Ion Calculations'!$C37)/2-'Mass Ion Calculations'!$D$5,('Mass Ion Calculations'!$F$15+'AA Exact Masses'!$Q$3+'AA Exact Masses'!$Q$2-'Mass Ion Calculations'!$E$9-'Mass Ion Calculations'!$E37)/2-'Mass Ion Calculations'!$D$5)))</f>
        <v/>
      </c>
      <c r="H36" s="3" t="str">
        <f>IF(OR($B36="",H$3=""),"",IF('Mass Ion Calculations'!$D$6="Yes",IF('Mass Ion Calculations'!$D$7="Yes",('Mass Ion Calculations'!$D$18+'AA Exact Masses'!$Q$3+'AA Exact Masses'!$Q$2-'Mass Ion Calculations'!$C$10-'Mass Ion Calculations'!$C37)/2-'Mass Ion Calculations'!$D$5,('Mass Ion Calculations'!$F$18+'AA Exact Masses'!$Q$3+'AA Exact Masses'!$Q$2-'Mass Ion Calculations'!$E$10-'Mass Ion Calculations'!$E37)/2-'Mass Ion Calculations'!$D$5),IF('Mass Ion Calculations'!$D$7="Yes", ('Mass Ion Calculations'!$D$15+'AA Exact Masses'!$Q$3+'AA Exact Masses'!$Q$2-'Mass Ion Calculations'!$C$10-'Mass Ion Calculations'!$C37)/2-'Mass Ion Calculations'!$D$5,('Mass Ion Calculations'!$F$15+'AA Exact Masses'!$Q$3+'AA Exact Masses'!$Q$2-'Mass Ion Calculations'!$E$10-'Mass Ion Calculations'!$E37)/2-'Mass Ion Calculations'!$D$5)))</f>
        <v/>
      </c>
      <c r="I36" s="3" t="str">
        <f>IF(OR($B36="",I$3=""),"",IF('Mass Ion Calculations'!$D$6="Yes",IF('Mass Ion Calculations'!$D$7="Yes",('Mass Ion Calculations'!$D$18+'AA Exact Masses'!$Q$3+'AA Exact Masses'!$Q$2-'Mass Ion Calculations'!$C$11-'Mass Ion Calculations'!$C37)/2-'Mass Ion Calculations'!$D$5,('Mass Ion Calculations'!$F$18+'AA Exact Masses'!$Q$3+'AA Exact Masses'!$Q$2-'Mass Ion Calculations'!$E$11-'Mass Ion Calculations'!$E37)/2-'Mass Ion Calculations'!$D$5),IF('Mass Ion Calculations'!$D$7="Yes", ('Mass Ion Calculations'!$D$15+'AA Exact Masses'!$Q$3+'AA Exact Masses'!$Q$2-'Mass Ion Calculations'!$C$11-'Mass Ion Calculations'!$C37)/2-'Mass Ion Calculations'!$D$5,('Mass Ion Calculations'!$F$15+'AA Exact Masses'!$Q$3+'AA Exact Masses'!$Q$2-'Mass Ion Calculations'!$E$11-'Mass Ion Calculations'!$E37)/2-'Mass Ion Calculations'!$D$5)))</f>
        <v/>
      </c>
      <c r="J36" s="3" t="str">
        <f>IF(OR($B36="",J$3=""),"",IF('Mass Ion Calculations'!$D$6="Yes",IF('Mass Ion Calculations'!$D$7="Yes",('Mass Ion Calculations'!$D$18+'AA Exact Masses'!$Q$3+'AA Exact Masses'!$Q$2-'Mass Ion Calculations'!$C$12-'Mass Ion Calculations'!$C37)/2-'Mass Ion Calculations'!$D$5,('Mass Ion Calculations'!$F$18+'AA Exact Masses'!$Q$3+'AA Exact Masses'!$Q$2-'Mass Ion Calculations'!$E$12-'Mass Ion Calculations'!$E37)/2-'Mass Ion Calculations'!$D$5),IF('Mass Ion Calculations'!$D$7="Yes", ('Mass Ion Calculations'!$D$15+'AA Exact Masses'!$Q$3+'AA Exact Masses'!$Q$2-'Mass Ion Calculations'!$C$12-'Mass Ion Calculations'!$C37)/2-'Mass Ion Calculations'!$D$5,('Mass Ion Calculations'!$F$15+'AA Exact Masses'!$Q$3+'AA Exact Masses'!$Q$2-'Mass Ion Calculations'!$E$12-'Mass Ion Calculations'!$E37)/2-'Mass Ion Calculations'!$D$5)))</f>
        <v/>
      </c>
      <c r="K36" s="3" t="str">
        <f>IF(OR($B36="",K$3=""),"",IF('Mass Ion Calculations'!$D$6="Yes",IF('Mass Ion Calculations'!$D$7="Yes",('Mass Ion Calculations'!$D$18+'AA Exact Masses'!$Q$3+'AA Exact Masses'!$Q$2-'Mass Ion Calculations'!$C$13-'Mass Ion Calculations'!$C37)/2-'Mass Ion Calculations'!$D$5,('Mass Ion Calculations'!$F$18+'AA Exact Masses'!$Q$3+'AA Exact Masses'!$Q$2-'Mass Ion Calculations'!$E$14-'Mass Ion Calculations'!$E37)/2-'Mass Ion Calculations'!$D$5),IF('Mass Ion Calculations'!$D$7="Yes", ('Mass Ion Calculations'!$D$15+'AA Exact Masses'!$Q$3+'AA Exact Masses'!$Q$2-'Mass Ion Calculations'!$C$13-'Mass Ion Calculations'!$C37)/2-'Mass Ion Calculations'!$D$5,('Mass Ion Calculations'!$F$15+'AA Exact Masses'!$Q$3+'AA Exact Masses'!$Q$2-'Mass Ion Calculations'!$E$14-'Mass Ion Calculations'!$E37)/2-'Mass Ion Calculations'!$D$5)))</f>
        <v/>
      </c>
      <c r="L36" s="3" t="str">
        <f>IF(OR($B36="",L$3=""),"",IF('Mass Ion Calculations'!$D$6="Yes",IF('Mass Ion Calculations'!$D$7="Yes",('Mass Ion Calculations'!$D$18+'AA Exact Masses'!$Q$3+'AA Exact Masses'!$Q$2-'Mass Ion Calculations'!$C$14-'Mass Ion Calculations'!$C37)/2-'Mass Ion Calculations'!$D$5,('Mass Ion Calculations'!$F$18+'AA Exact Masses'!$Q$3+'AA Exact Masses'!$Q$2-'Mass Ion Calculations'!$E$15-'Mass Ion Calculations'!$E37)/2-'Mass Ion Calculations'!$D$5),IF('Mass Ion Calculations'!$D$7="Yes", ('Mass Ion Calculations'!$D$15+'AA Exact Masses'!$Q$3+'AA Exact Masses'!$Q$2-'Mass Ion Calculations'!$C$14-'Mass Ion Calculations'!$C37)/2-'Mass Ion Calculations'!$D$5,('Mass Ion Calculations'!$F$15+'AA Exact Masses'!$Q$3+'AA Exact Masses'!$Q$2-'Mass Ion Calculations'!$E$15-'Mass Ion Calculations'!$E37)/2-'Mass Ion Calculations'!$D$5)))</f>
        <v/>
      </c>
      <c r="M36" s="3" t="str">
        <f>IF(OR($B36="",M$3=""),"",IF('Mass Ion Calculations'!$D$6="Yes",IF('Mass Ion Calculations'!$D$7="Yes",('Mass Ion Calculations'!$D$18+'AA Exact Masses'!$Q$3+'AA Exact Masses'!$Q$2-'Mass Ion Calculations'!$C$15-'Mass Ion Calculations'!$C37)/2-'Mass Ion Calculations'!$D$5,('Mass Ion Calculations'!$F$18+'AA Exact Masses'!$Q$3+'AA Exact Masses'!$Q$2-'Mass Ion Calculations'!$E$16-'Mass Ion Calculations'!$E37)/2-'Mass Ion Calculations'!$D$5),IF('Mass Ion Calculations'!$D$7="Yes", ('Mass Ion Calculations'!$D$15+'AA Exact Masses'!$Q$3+'AA Exact Masses'!$Q$2-'Mass Ion Calculations'!$C$15-'Mass Ion Calculations'!$C37)/2-'Mass Ion Calculations'!$D$5,('Mass Ion Calculations'!$F$15+'AA Exact Masses'!$Q$3+'AA Exact Masses'!$Q$2-'Mass Ion Calculations'!$E$16-'Mass Ion Calculations'!$E37)/2-'Mass Ion Calculations'!$D$5)))</f>
        <v/>
      </c>
      <c r="N36" s="3" t="str">
        <f>IF(OR($B36="",N$3=""),"",IF('Mass Ion Calculations'!$D$6="Yes",IF('Mass Ion Calculations'!$D$7="Yes",('Mass Ion Calculations'!$D$18+'AA Exact Masses'!$Q$3+'AA Exact Masses'!$Q$2-'Mass Ion Calculations'!$C$16-'Mass Ion Calculations'!$C37)/2-'Mass Ion Calculations'!$D$5,('Mass Ion Calculations'!$F$18+'AA Exact Masses'!$Q$3+'AA Exact Masses'!$Q$2-'Mass Ion Calculations'!$E$17-'Mass Ion Calculations'!$E37)/2-'Mass Ion Calculations'!$D$5),IF('Mass Ion Calculations'!$D$7="Yes", ('Mass Ion Calculations'!$D$15+'AA Exact Masses'!$Q$3+'AA Exact Masses'!$Q$2-'Mass Ion Calculations'!$C$16-'Mass Ion Calculations'!$C37)/2-'Mass Ion Calculations'!$D$5,('Mass Ion Calculations'!$F$15+'AA Exact Masses'!$Q$3+'AA Exact Masses'!$Q$2-'Mass Ion Calculations'!$E$17-'Mass Ion Calculations'!$E37)/2-'Mass Ion Calculations'!$D$5)))</f>
        <v/>
      </c>
      <c r="O36" s="3" t="str">
        <f>IF(OR($B36="",O$3=""),"",IF('Mass Ion Calculations'!$D$6="Yes",IF('Mass Ion Calculations'!$D$7="Yes",('Mass Ion Calculations'!$D$18+'AA Exact Masses'!$Q$3+'AA Exact Masses'!$Q$2-'Mass Ion Calculations'!$C$17-'Mass Ion Calculations'!$C37)/2-'Mass Ion Calculations'!$D$5,('Mass Ion Calculations'!$F$18+'AA Exact Masses'!$Q$3+'AA Exact Masses'!$Q$2-'Mass Ion Calculations'!$E$18-'Mass Ion Calculations'!$E37)/2-'Mass Ion Calculations'!$D$5),IF('Mass Ion Calculations'!$D$7="Yes", ('Mass Ion Calculations'!$D$15+'AA Exact Masses'!$Q$3+'AA Exact Masses'!$Q$2-'Mass Ion Calculations'!$C$17-'Mass Ion Calculations'!$C37)/2-'Mass Ion Calculations'!$D$5,('Mass Ion Calculations'!$F$15+'AA Exact Masses'!$Q$3+'AA Exact Masses'!$Q$2-'Mass Ion Calculations'!$E$18-'Mass Ion Calculations'!$E37)/2-'Mass Ion Calculations'!$D$5)))</f>
        <v/>
      </c>
      <c r="P36" s="3" t="str">
        <f>IF(OR($B36="",P$3=""),"",IF('Mass Ion Calculations'!$D$6="Yes",IF('Mass Ion Calculations'!$D$7="Yes",('Mass Ion Calculations'!$D$18+'AA Exact Masses'!$Q$3+'AA Exact Masses'!$Q$2-'Mass Ion Calculations'!$C$19-'Mass Ion Calculations'!$C37)/2-'Mass Ion Calculations'!$D$5,('Mass Ion Calculations'!$F$18+'AA Exact Masses'!$Q$3+'AA Exact Masses'!$Q$2-'Mass Ion Calculations'!$E$19-'Mass Ion Calculations'!$E37)/2-'Mass Ion Calculations'!$D$5),IF('Mass Ion Calculations'!$D$7="Yes", ('Mass Ion Calculations'!$D$15+'AA Exact Masses'!$Q$3+'AA Exact Masses'!$Q$2-'Mass Ion Calculations'!$C$19-'Mass Ion Calculations'!$C37)/2-'Mass Ion Calculations'!$D$5,('Mass Ion Calculations'!$F$15+'AA Exact Masses'!$Q$3+'AA Exact Masses'!$Q$2-'Mass Ion Calculations'!$E$19-'Mass Ion Calculations'!$E37)/2-'Mass Ion Calculations'!$D$5)))</f>
        <v/>
      </c>
      <c r="Q36" s="3" t="str">
        <f>IF(OR($B36="",Q$3=""),"",IF('Mass Ion Calculations'!$D$6="Yes",IF('Mass Ion Calculations'!$D$7="Yes",('Mass Ion Calculations'!$D$18+'AA Exact Masses'!$Q$3+'AA Exact Masses'!$Q$2-'Mass Ion Calculations'!$C$20-'Mass Ion Calculations'!$C37)/2-'Mass Ion Calculations'!$D$5,('Mass Ion Calculations'!$F$18+'AA Exact Masses'!$Q$3+'AA Exact Masses'!$Q$2-'Mass Ion Calculations'!$E$20-'Mass Ion Calculations'!$E37)/2-'Mass Ion Calculations'!$D$5),IF('Mass Ion Calculations'!$D$7="Yes", ('Mass Ion Calculations'!$D$15+'AA Exact Masses'!$Q$3+'AA Exact Masses'!$Q$2-'Mass Ion Calculations'!$C$20-'Mass Ion Calculations'!$C37)/2-'Mass Ion Calculations'!$D$5,('Mass Ion Calculations'!$F$15+'AA Exact Masses'!$Q$3+'AA Exact Masses'!$Q$2-'Mass Ion Calculations'!$E$20-'Mass Ion Calculations'!$E37)/2-'Mass Ion Calculations'!$D$5)))</f>
        <v/>
      </c>
      <c r="R36" s="3" t="str">
        <f>IF(OR($B36="",R$3=""),"",IF('Mass Ion Calculations'!$D$6="Yes",IF('Mass Ion Calculations'!$D$7="Yes",('Mass Ion Calculations'!$D$18+'AA Exact Masses'!$Q$3+'AA Exact Masses'!$Q$2-'Mass Ion Calculations'!$C$21-'Mass Ion Calculations'!$C37)/2-'Mass Ion Calculations'!$D$5,('Mass Ion Calculations'!$F$18+'AA Exact Masses'!$Q$3+'AA Exact Masses'!$Q$2-'Mass Ion Calculations'!$E$21-'Mass Ion Calculations'!$E37)/2-'Mass Ion Calculations'!$D$5),IF('Mass Ion Calculations'!$D$7="Yes", ('Mass Ion Calculations'!$D$15+'AA Exact Masses'!$Q$3+'AA Exact Masses'!$Q$2-'Mass Ion Calculations'!$C$21-'Mass Ion Calculations'!$C37)/2-'Mass Ion Calculations'!$D$5,('Mass Ion Calculations'!$F$15+'AA Exact Masses'!$Q$3+'AA Exact Masses'!$Q$2-'Mass Ion Calculations'!$E$21-'Mass Ion Calculations'!$E37)/2-'Mass Ion Calculations'!$D$5)))</f>
        <v/>
      </c>
      <c r="S36" s="3" t="str">
        <f>IF(OR($B36="",S$3=""),"",IF('Mass Ion Calculations'!$D$6="Yes",IF('Mass Ion Calculations'!$D$7="Yes",('Mass Ion Calculations'!$D$18+'AA Exact Masses'!$Q$3+'AA Exact Masses'!$Q$2-'Mass Ion Calculations'!$C$22-'Mass Ion Calculations'!$C37)/2-'Mass Ion Calculations'!$D$5,('Mass Ion Calculations'!$F$18+'AA Exact Masses'!$Q$3+'AA Exact Masses'!$Q$2-'Mass Ion Calculations'!$E$22-'Mass Ion Calculations'!$E37)/2-'Mass Ion Calculations'!$D$5),IF('Mass Ion Calculations'!$D$7="Yes", ('Mass Ion Calculations'!$D$15+'AA Exact Masses'!$Q$3+'AA Exact Masses'!$Q$2-'Mass Ion Calculations'!$C$22-'Mass Ion Calculations'!$C37)/2-'Mass Ion Calculations'!$D$5,('Mass Ion Calculations'!$F$15+'AA Exact Masses'!$Q$3+'AA Exact Masses'!$Q$2-'Mass Ion Calculations'!$E$22-'Mass Ion Calculations'!$E37)/2-'Mass Ion Calculations'!$D$5)))</f>
        <v/>
      </c>
    </row>
    <row r="37" spans="3:19" x14ac:dyDescent="0.25">
      <c r="C37" s="3" t="str">
        <f>IF(OR($B37="",C$3=""),"",IF('Mass Ion Calculations'!$D$6="Yes",IF('Mass Ion Calculations'!$D$7="Yes",('Mass Ion Calculations'!$D$18+'AA Exact Masses'!$Q$3+'AA Exact Masses'!$Q$2-'Mass Ion Calculations'!$C$5-'Mass Ion Calculations'!$C38)/2-'Mass Ion Calculations'!$D$5,('Mass Ion Calculations'!$F$18+'AA Exact Masses'!$Q$3+'AA Exact Masses'!$Q$2-'Mass Ion Calculations'!$E$5-'Mass Ion Calculations'!$E38)/2-'Mass Ion Calculations'!$D$5),IF('Mass Ion Calculations'!$D$7="Yes", ('Mass Ion Calculations'!$D$15+'AA Exact Masses'!$Q$3+'AA Exact Masses'!$Q$2-'Mass Ion Calculations'!$C$5-'Mass Ion Calculations'!$C38)/2-'Mass Ion Calculations'!$D$5,('Mass Ion Calculations'!$F$15+'AA Exact Masses'!$Q$3+'AA Exact Masses'!$Q$2-'Mass Ion Calculations'!$E$5-'Mass Ion Calculations'!$E38)/2-'Mass Ion Calculations'!$D$5)))</f>
        <v/>
      </c>
      <c r="D37" s="3" t="str">
        <f>IF(OR($B37="",D$3=""),"",IF('Mass Ion Calculations'!$D$6="Yes",IF('Mass Ion Calculations'!$D$7="Yes",('Mass Ion Calculations'!$D$18+'AA Exact Masses'!$Q$3+'AA Exact Masses'!$Q$2-'Mass Ion Calculations'!$C$6-'Mass Ion Calculations'!$C38)/2-'Mass Ion Calculations'!$D$5,('Mass Ion Calculations'!$F$18+'AA Exact Masses'!$Q$3+'AA Exact Masses'!$Q$2-'Mass Ion Calculations'!$E$6-'Mass Ion Calculations'!$E38)/2-'Mass Ion Calculations'!$D$5),IF('Mass Ion Calculations'!$D$7="Yes", ('Mass Ion Calculations'!$D$15+'AA Exact Masses'!$Q$3+'AA Exact Masses'!$Q$2-'Mass Ion Calculations'!$C$6-'Mass Ion Calculations'!$C38)/2-'Mass Ion Calculations'!$D$5,('Mass Ion Calculations'!$F$15+'AA Exact Masses'!$Q$3+'AA Exact Masses'!$Q$2-'Mass Ion Calculations'!$E$6-'Mass Ion Calculations'!$E38)/2-'Mass Ion Calculations'!$D$5)))</f>
        <v/>
      </c>
      <c r="E37" s="3" t="str">
        <f>IF(OR($B37="",E$3=""),"",IF('Mass Ion Calculations'!$D$6="Yes",IF('Mass Ion Calculations'!$D$7="Yes",('Mass Ion Calculations'!$D$18+'AA Exact Masses'!$Q$3+'AA Exact Masses'!$Q$2-'Mass Ion Calculations'!$C$7-'Mass Ion Calculations'!$C38)/2-'Mass Ion Calculations'!$D$5,('Mass Ion Calculations'!$F$18+'AA Exact Masses'!$Q$3+'AA Exact Masses'!$Q$2-'Mass Ion Calculations'!$E$7-'Mass Ion Calculations'!$E38)/2-'Mass Ion Calculations'!$D$5),IF('Mass Ion Calculations'!$D$7="Yes", ('Mass Ion Calculations'!$D$15+'AA Exact Masses'!$Q$3+'AA Exact Masses'!$Q$2-'Mass Ion Calculations'!$C$7-'Mass Ion Calculations'!$C38)/2-'Mass Ion Calculations'!$D$5,('Mass Ion Calculations'!$F$15+'AA Exact Masses'!$Q$3+'AA Exact Masses'!$Q$2-'Mass Ion Calculations'!$E$7-'Mass Ion Calculations'!$E38)/2-'Mass Ion Calculations'!$D$5)))</f>
        <v/>
      </c>
      <c r="F37" s="3" t="str">
        <f>IF(OR($B37="",F$3=""),"",IF('Mass Ion Calculations'!$D$6="Yes",IF('Mass Ion Calculations'!$D$7="Yes",('Mass Ion Calculations'!$D$18+'AA Exact Masses'!$Q$3+'AA Exact Masses'!$Q$2-'Mass Ion Calculations'!$C$8-'Mass Ion Calculations'!$C38)/2-'Mass Ion Calculations'!$D$5,('Mass Ion Calculations'!$F$18+'AA Exact Masses'!$Q$3+'AA Exact Masses'!$Q$2-'Mass Ion Calculations'!$E$8-'Mass Ion Calculations'!$E38)/2-'Mass Ion Calculations'!$D$5),IF('Mass Ion Calculations'!$D$7="Yes", ('Mass Ion Calculations'!$D$15+'AA Exact Masses'!$Q$3+'AA Exact Masses'!$Q$2-'Mass Ion Calculations'!$C$8-'Mass Ion Calculations'!$C38)/2-'Mass Ion Calculations'!$D$5,('Mass Ion Calculations'!$F$15+'AA Exact Masses'!$Q$3+'AA Exact Masses'!$Q$2-'Mass Ion Calculations'!$E$8-'Mass Ion Calculations'!$E38)/2-'Mass Ion Calculations'!$D$5)))</f>
        <v/>
      </c>
      <c r="G37" s="3" t="str">
        <f>IF(OR($B37="",G$3=""),"",IF('Mass Ion Calculations'!$D$6="Yes",IF('Mass Ion Calculations'!$D$7="Yes",('Mass Ion Calculations'!$D$18+'AA Exact Masses'!$Q$3+'AA Exact Masses'!$Q$2-'Mass Ion Calculations'!$C$9-'Mass Ion Calculations'!$C38)/2-'Mass Ion Calculations'!$D$5,('Mass Ion Calculations'!$F$18+'AA Exact Masses'!$Q$3+'AA Exact Masses'!$Q$2-'Mass Ion Calculations'!$E$9-'Mass Ion Calculations'!$E38)/2-'Mass Ion Calculations'!$D$5),IF('Mass Ion Calculations'!$D$7="Yes", ('Mass Ion Calculations'!$D$15+'AA Exact Masses'!$Q$3+'AA Exact Masses'!$Q$2-'Mass Ion Calculations'!$C$9-'Mass Ion Calculations'!$C38)/2-'Mass Ion Calculations'!$D$5,('Mass Ion Calculations'!$F$15+'AA Exact Masses'!$Q$3+'AA Exact Masses'!$Q$2-'Mass Ion Calculations'!$E$9-'Mass Ion Calculations'!$E38)/2-'Mass Ion Calculations'!$D$5)))</f>
        <v/>
      </c>
      <c r="H37" s="3" t="str">
        <f>IF(OR($B37="",H$3=""),"",IF('Mass Ion Calculations'!$D$6="Yes",IF('Mass Ion Calculations'!$D$7="Yes",('Mass Ion Calculations'!$D$18+'AA Exact Masses'!$Q$3+'AA Exact Masses'!$Q$2-'Mass Ion Calculations'!$C$10-'Mass Ion Calculations'!$C38)/2-'Mass Ion Calculations'!$D$5,('Mass Ion Calculations'!$F$18+'AA Exact Masses'!$Q$3+'AA Exact Masses'!$Q$2-'Mass Ion Calculations'!$E$10-'Mass Ion Calculations'!$E38)/2-'Mass Ion Calculations'!$D$5),IF('Mass Ion Calculations'!$D$7="Yes", ('Mass Ion Calculations'!$D$15+'AA Exact Masses'!$Q$3+'AA Exact Masses'!$Q$2-'Mass Ion Calculations'!$C$10-'Mass Ion Calculations'!$C38)/2-'Mass Ion Calculations'!$D$5,('Mass Ion Calculations'!$F$15+'AA Exact Masses'!$Q$3+'AA Exact Masses'!$Q$2-'Mass Ion Calculations'!$E$10-'Mass Ion Calculations'!$E38)/2-'Mass Ion Calculations'!$D$5)))</f>
        <v/>
      </c>
      <c r="I37" s="3" t="str">
        <f>IF(OR($B37="",I$3=""),"",IF('Mass Ion Calculations'!$D$6="Yes",IF('Mass Ion Calculations'!$D$7="Yes",('Mass Ion Calculations'!$D$18+'AA Exact Masses'!$Q$3+'AA Exact Masses'!$Q$2-'Mass Ion Calculations'!$C$11-'Mass Ion Calculations'!$C38)/2-'Mass Ion Calculations'!$D$5,('Mass Ion Calculations'!$F$18+'AA Exact Masses'!$Q$3+'AA Exact Masses'!$Q$2-'Mass Ion Calculations'!$E$11-'Mass Ion Calculations'!$E38)/2-'Mass Ion Calculations'!$D$5),IF('Mass Ion Calculations'!$D$7="Yes", ('Mass Ion Calculations'!$D$15+'AA Exact Masses'!$Q$3+'AA Exact Masses'!$Q$2-'Mass Ion Calculations'!$C$11-'Mass Ion Calculations'!$C38)/2-'Mass Ion Calculations'!$D$5,('Mass Ion Calculations'!$F$15+'AA Exact Masses'!$Q$3+'AA Exact Masses'!$Q$2-'Mass Ion Calculations'!$E$11-'Mass Ion Calculations'!$E38)/2-'Mass Ion Calculations'!$D$5)))</f>
        <v/>
      </c>
      <c r="J37" s="3" t="str">
        <f>IF(OR($B37="",J$3=""),"",IF('Mass Ion Calculations'!$D$6="Yes",IF('Mass Ion Calculations'!$D$7="Yes",('Mass Ion Calculations'!$D$18+'AA Exact Masses'!$Q$3+'AA Exact Masses'!$Q$2-'Mass Ion Calculations'!$C$12-'Mass Ion Calculations'!$C38)/2-'Mass Ion Calculations'!$D$5,('Mass Ion Calculations'!$F$18+'AA Exact Masses'!$Q$3+'AA Exact Masses'!$Q$2-'Mass Ion Calculations'!$E$12-'Mass Ion Calculations'!$E38)/2-'Mass Ion Calculations'!$D$5),IF('Mass Ion Calculations'!$D$7="Yes", ('Mass Ion Calculations'!$D$15+'AA Exact Masses'!$Q$3+'AA Exact Masses'!$Q$2-'Mass Ion Calculations'!$C$12-'Mass Ion Calculations'!$C38)/2-'Mass Ion Calculations'!$D$5,('Mass Ion Calculations'!$F$15+'AA Exact Masses'!$Q$3+'AA Exact Masses'!$Q$2-'Mass Ion Calculations'!$E$12-'Mass Ion Calculations'!$E38)/2-'Mass Ion Calculations'!$D$5)))</f>
        <v/>
      </c>
      <c r="K37" s="3" t="str">
        <f>IF(OR($B37="",K$3=""),"",IF('Mass Ion Calculations'!$D$6="Yes",IF('Mass Ion Calculations'!$D$7="Yes",('Mass Ion Calculations'!$D$18+'AA Exact Masses'!$Q$3+'AA Exact Masses'!$Q$2-'Mass Ion Calculations'!$C$13-'Mass Ion Calculations'!$C38)/2-'Mass Ion Calculations'!$D$5,('Mass Ion Calculations'!$F$18+'AA Exact Masses'!$Q$3+'AA Exact Masses'!$Q$2-'Mass Ion Calculations'!$E$14-'Mass Ion Calculations'!$E38)/2-'Mass Ion Calculations'!$D$5),IF('Mass Ion Calculations'!$D$7="Yes", ('Mass Ion Calculations'!$D$15+'AA Exact Masses'!$Q$3+'AA Exact Masses'!$Q$2-'Mass Ion Calculations'!$C$13-'Mass Ion Calculations'!$C38)/2-'Mass Ion Calculations'!$D$5,('Mass Ion Calculations'!$F$15+'AA Exact Masses'!$Q$3+'AA Exact Masses'!$Q$2-'Mass Ion Calculations'!$E$14-'Mass Ion Calculations'!$E38)/2-'Mass Ion Calculations'!$D$5)))</f>
        <v/>
      </c>
      <c r="L37" s="3" t="str">
        <f>IF(OR($B37="",L$3=""),"",IF('Mass Ion Calculations'!$D$6="Yes",IF('Mass Ion Calculations'!$D$7="Yes",('Mass Ion Calculations'!$D$18+'AA Exact Masses'!$Q$3+'AA Exact Masses'!$Q$2-'Mass Ion Calculations'!$C$14-'Mass Ion Calculations'!$C38)/2-'Mass Ion Calculations'!$D$5,('Mass Ion Calculations'!$F$18+'AA Exact Masses'!$Q$3+'AA Exact Masses'!$Q$2-'Mass Ion Calculations'!$E$15-'Mass Ion Calculations'!$E38)/2-'Mass Ion Calculations'!$D$5),IF('Mass Ion Calculations'!$D$7="Yes", ('Mass Ion Calculations'!$D$15+'AA Exact Masses'!$Q$3+'AA Exact Masses'!$Q$2-'Mass Ion Calculations'!$C$14-'Mass Ion Calculations'!$C38)/2-'Mass Ion Calculations'!$D$5,('Mass Ion Calculations'!$F$15+'AA Exact Masses'!$Q$3+'AA Exact Masses'!$Q$2-'Mass Ion Calculations'!$E$15-'Mass Ion Calculations'!$E38)/2-'Mass Ion Calculations'!$D$5)))</f>
        <v/>
      </c>
      <c r="M37" s="3" t="str">
        <f>IF(OR($B37="",M$3=""),"",IF('Mass Ion Calculations'!$D$6="Yes",IF('Mass Ion Calculations'!$D$7="Yes",('Mass Ion Calculations'!$D$18+'AA Exact Masses'!$Q$3+'AA Exact Masses'!$Q$2-'Mass Ion Calculations'!$C$15-'Mass Ion Calculations'!$C38)/2-'Mass Ion Calculations'!$D$5,('Mass Ion Calculations'!$F$18+'AA Exact Masses'!$Q$3+'AA Exact Masses'!$Q$2-'Mass Ion Calculations'!$E$16-'Mass Ion Calculations'!$E38)/2-'Mass Ion Calculations'!$D$5),IF('Mass Ion Calculations'!$D$7="Yes", ('Mass Ion Calculations'!$D$15+'AA Exact Masses'!$Q$3+'AA Exact Masses'!$Q$2-'Mass Ion Calculations'!$C$15-'Mass Ion Calculations'!$C38)/2-'Mass Ion Calculations'!$D$5,('Mass Ion Calculations'!$F$15+'AA Exact Masses'!$Q$3+'AA Exact Masses'!$Q$2-'Mass Ion Calculations'!$E$16-'Mass Ion Calculations'!$E38)/2-'Mass Ion Calculations'!$D$5)))</f>
        <v/>
      </c>
      <c r="N37" s="3" t="str">
        <f>IF(OR($B37="",N$3=""),"",IF('Mass Ion Calculations'!$D$6="Yes",IF('Mass Ion Calculations'!$D$7="Yes",('Mass Ion Calculations'!$D$18+'AA Exact Masses'!$Q$3+'AA Exact Masses'!$Q$2-'Mass Ion Calculations'!$C$16-'Mass Ion Calculations'!$C38)/2-'Mass Ion Calculations'!$D$5,('Mass Ion Calculations'!$F$18+'AA Exact Masses'!$Q$3+'AA Exact Masses'!$Q$2-'Mass Ion Calculations'!$E$17-'Mass Ion Calculations'!$E38)/2-'Mass Ion Calculations'!$D$5),IF('Mass Ion Calculations'!$D$7="Yes", ('Mass Ion Calculations'!$D$15+'AA Exact Masses'!$Q$3+'AA Exact Masses'!$Q$2-'Mass Ion Calculations'!$C$16-'Mass Ion Calculations'!$C38)/2-'Mass Ion Calculations'!$D$5,('Mass Ion Calculations'!$F$15+'AA Exact Masses'!$Q$3+'AA Exact Masses'!$Q$2-'Mass Ion Calculations'!$E$17-'Mass Ion Calculations'!$E38)/2-'Mass Ion Calculations'!$D$5)))</f>
        <v/>
      </c>
      <c r="O37" s="3" t="str">
        <f>IF(OR($B37="",O$3=""),"",IF('Mass Ion Calculations'!$D$6="Yes",IF('Mass Ion Calculations'!$D$7="Yes",('Mass Ion Calculations'!$D$18+'AA Exact Masses'!$Q$3+'AA Exact Masses'!$Q$2-'Mass Ion Calculations'!$C$17-'Mass Ion Calculations'!$C38)/2-'Mass Ion Calculations'!$D$5,('Mass Ion Calculations'!$F$18+'AA Exact Masses'!$Q$3+'AA Exact Masses'!$Q$2-'Mass Ion Calculations'!$E$18-'Mass Ion Calculations'!$E38)/2-'Mass Ion Calculations'!$D$5),IF('Mass Ion Calculations'!$D$7="Yes", ('Mass Ion Calculations'!$D$15+'AA Exact Masses'!$Q$3+'AA Exact Masses'!$Q$2-'Mass Ion Calculations'!$C$17-'Mass Ion Calculations'!$C38)/2-'Mass Ion Calculations'!$D$5,('Mass Ion Calculations'!$F$15+'AA Exact Masses'!$Q$3+'AA Exact Masses'!$Q$2-'Mass Ion Calculations'!$E$18-'Mass Ion Calculations'!$E38)/2-'Mass Ion Calculations'!$D$5)))</f>
        <v/>
      </c>
      <c r="P37" s="3" t="str">
        <f>IF(OR($B37="",P$3=""),"",IF('Mass Ion Calculations'!$D$6="Yes",IF('Mass Ion Calculations'!$D$7="Yes",('Mass Ion Calculations'!$D$18+'AA Exact Masses'!$Q$3+'AA Exact Masses'!$Q$2-'Mass Ion Calculations'!$C$19-'Mass Ion Calculations'!$C38)/2-'Mass Ion Calculations'!$D$5,('Mass Ion Calculations'!$F$18+'AA Exact Masses'!$Q$3+'AA Exact Masses'!$Q$2-'Mass Ion Calculations'!$E$19-'Mass Ion Calculations'!$E38)/2-'Mass Ion Calculations'!$D$5),IF('Mass Ion Calculations'!$D$7="Yes", ('Mass Ion Calculations'!$D$15+'AA Exact Masses'!$Q$3+'AA Exact Masses'!$Q$2-'Mass Ion Calculations'!$C$19-'Mass Ion Calculations'!$C38)/2-'Mass Ion Calculations'!$D$5,('Mass Ion Calculations'!$F$15+'AA Exact Masses'!$Q$3+'AA Exact Masses'!$Q$2-'Mass Ion Calculations'!$E$19-'Mass Ion Calculations'!$E38)/2-'Mass Ion Calculations'!$D$5)))</f>
        <v/>
      </c>
      <c r="Q37" s="3" t="str">
        <f>IF(OR($B37="",Q$3=""),"",IF('Mass Ion Calculations'!$D$6="Yes",IF('Mass Ion Calculations'!$D$7="Yes",('Mass Ion Calculations'!$D$18+'AA Exact Masses'!$Q$3+'AA Exact Masses'!$Q$2-'Mass Ion Calculations'!$C$20-'Mass Ion Calculations'!$C38)/2-'Mass Ion Calculations'!$D$5,('Mass Ion Calculations'!$F$18+'AA Exact Masses'!$Q$3+'AA Exact Masses'!$Q$2-'Mass Ion Calculations'!$E$20-'Mass Ion Calculations'!$E38)/2-'Mass Ion Calculations'!$D$5),IF('Mass Ion Calculations'!$D$7="Yes", ('Mass Ion Calculations'!$D$15+'AA Exact Masses'!$Q$3+'AA Exact Masses'!$Q$2-'Mass Ion Calculations'!$C$20-'Mass Ion Calculations'!$C38)/2-'Mass Ion Calculations'!$D$5,('Mass Ion Calculations'!$F$15+'AA Exact Masses'!$Q$3+'AA Exact Masses'!$Q$2-'Mass Ion Calculations'!$E$20-'Mass Ion Calculations'!$E38)/2-'Mass Ion Calculations'!$D$5)))</f>
        <v/>
      </c>
      <c r="R37" s="3" t="str">
        <f>IF(OR($B37="",R$3=""),"",IF('Mass Ion Calculations'!$D$6="Yes",IF('Mass Ion Calculations'!$D$7="Yes",('Mass Ion Calculations'!$D$18+'AA Exact Masses'!$Q$3+'AA Exact Masses'!$Q$2-'Mass Ion Calculations'!$C$21-'Mass Ion Calculations'!$C38)/2-'Mass Ion Calculations'!$D$5,('Mass Ion Calculations'!$F$18+'AA Exact Masses'!$Q$3+'AA Exact Masses'!$Q$2-'Mass Ion Calculations'!$E$21-'Mass Ion Calculations'!$E38)/2-'Mass Ion Calculations'!$D$5),IF('Mass Ion Calculations'!$D$7="Yes", ('Mass Ion Calculations'!$D$15+'AA Exact Masses'!$Q$3+'AA Exact Masses'!$Q$2-'Mass Ion Calculations'!$C$21-'Mass Ion Calculations'!$C38)/2-'Mass Ion Calculations'!$D$5,('Mass Ion Calculations'!$F$15+'AA Exact Masses'!$Q$3+'AA Exact Masses'!$Q$2-'Mass Ion Calculations'!$E$21-'Mass Ion Calculations'!$E38)/2-'Mass Ion Calculations'!$D$5)))</f>
        <v/>
      </c>
      <c r="S37" s="3" t="str">
        <f>IF(OR($B37="",S$3=""),"",IF('Mass Ion Calculations'!$D$6="Yes",IF('Mass Ion Calculations'!$D$7="Yes",('Mass Ion Calculations'!$D$18+'AA Exact Masses'!$Q$3+'AA Exact Masses'!$Q$2-'Mass Ion Calculations'!$C$22-'Mass Ion Calculations'!$C38)/2-'Mass Ion Calculations'!$D$5,('Mass Ion Calculations'!$F$18+'AA Exact Masses'!$Q$3+'AA Exact Masses'!$Q$2-'Mass Ion Calculations'!$E$22-'Mass Ion Calculations'!$E38)/2-'Mass Ion Calculations'!$D$5),IF('Mass Ion Calculations'!$D$7="Yes", ('Mass Ion Calculations'!$D$15+'AA Exact Masses'!$Q$3+'AA Exact Masses'!$Q$2-'Mass Ion Calculations'!$C$22-'Mass Ion Calculations'!$C38)/2-'Mass Ion Calculations'!$D$5,('Mass Ion Calculations'!$F$15+'AA Exact Masses'!$Q$3+'AA Exact Masses'!$Q$2-'Mass Ion Calculations'!$E$22-'Mass Ion Calculations'!$E38)/2-'Mass Ion Calculations'!$D$5)))</f>
        <v/>
      </c>
    </row>
    <row r="38" spans="3:19" x14ac:dyDescent="0.25">
      <c r="C38" s="3" t="str">
        <f>IF(OR($B38="",C$3=""),"",IF('Mass Ion Calculations'!$D$6="Yes",IF('Mass Ion Calculations'!$D$7="Yes",('Mass Ion Calculations'!$D$18+'AA Exact Masses'!$Q$3+'AA Exact Masses'!$Q$2-'Mass Ion Calculations'!$C$5-'Mass Ion Calculations'!$C39)/2-'Mass Ion Calculations'!$D$5,('Mass Ion Calculations'!$F$18+'AA Exact Masses'!$Q$3+'AA Exact Masses'!$Q$2-'Mass Ion Calculations'!$E$5-'Mass Ion Calculations'!$E39)/2-'Mass Ion Calculations'!$D$5),IF('Mass Ion Calculations'!$D$7="Yes", ('Mass Ion Calculations'!$D$15+'AA Exact Masses'!$Q$3+'AA Exact Masses'!$Q$2-'Mass Ion Calculations'!$C$5-'Mass Ion Calculations'!$C39)/2-'Mass Ion Calculations'!$D$5,('Mass Ion Calculations'!$F$15+'AA Exact Masses'!$Q$3+'AA Exact Masses'!$Q$2-'Mass Ion Calculations'!$E$5-'Mass Ion Calculations'!$E39)/2-'Mass Ion Calculations'!$D$5)))</f>
        <v/>
      </c>
      <c r="D38" s="3" t="str">
        <f>IF(OR($B38="",D$3=""),"",IF('Mass Ion Calculations'!$D$6="Yes",IF('Mass Ion Calculations'!$D$7="Yes",('Mass Ion Calculations'!$D$18+'AA Exact Masses'!$Q$3+'AA Exact Masses'!$Q$2-'Mass Ion Calculations'!$C$6-'Mass Ion Calculations'!$C39)/2-'Mass Ion Calculations'!$D$5,('Mass Ion Calculations'!$F$18+'AA Exact Masses'!$Q$3+'AA Exact Masses'!$Q$2-'Mass Ion Calculations'!$E$6-'Mass Ion Calculations'!$E39)/2-'Mass Ion Calculations'!$D$5),IF('Mass Ion Calculations'!$D$7="Yes", ('Mass Ion Calculations'!$D$15+'AA Exact Masses'!$Q$3+'AA Exact Masses'!$Q$2-'Mass Ion Calculations'!$C$6-'Mass Ion Calculations'!$C39)/2-'Mass Ion Calculations'!$D$5,('Mass Ion Calculations'!$F$15+'AA Exact Masses'!$Q$3+'AA Exact Masses'!$Q$2-'Mass Ion Calculations'!$E$6-'Mass Ion Calculations'!$E39)/2-'Mass Ion Calculations'!$D$5)))</f>
        <v/>
      </c>
      <c r="E38" s="3" t="str">
        <f>IF(OR($B38="",E$3=""),"",IF('Mass Ion Calculations'!$D$6="Yes",IF('Mass Ion Calculations'!$D$7="Yes",('Mass Ion Calculations'!$D$18+'AA Exact Masses'!$Q$3+'AA Exact Masses'!$Q$2-'Mass Ion Calculations'!$C$7-'Mass Ion Calculations'!$C39)/2-'Mass Ion Calculations'!$D$5,('Mass Ion Calculations'!$F$18+'AA Exact Masses'!$Q$3+'AA Exact Masses'!$Q$2-'Mass Ion Calculations'!$E$7-'Mass Ion Calculations'!$E39)/2-'Mass Ion Calculations'!$D$5),IF('Mass Ion Calculations'!$D$7="Yes", ('Mass Ion Calculations'!$D$15+'AA Exact Masses'!$Q$3+'AA Exact Masses'!$Q$2-'Mass Ion Calculations'!$C$7-'Mass Ion Calculations'!$C39)/2-'Mass Ion Calculations'!$D$5,('Mass Ion Calculations'!$F$15+'AA Exact Masses'!$Q$3+'AA Exact Masses'!$Q$2-'Mass Ion Calculations'!$E$7-'Mass Ion Calculations'!$E39)/2-'Mass Ion Calculations'!$D$5)))</f>
        <v/>
      </c>
      <c r="F38" s="3" t="str">
        <f>IF(OR($B38="",F$3=""),"",IF('Mass Ion Calculations'!$D$6="Yes",IF('Mass Ion Calculations'!$D$7="Yes",('Mass Ion Calculations'!$D$18+'AA Exact Masses'!$Q$3+'AA Exact Masses'!$Q$2-'Mass Ion Calculations'!$C$8-'Mass Ion Calculations'!$C39)/2-'Mass Ion Calculations'!$D$5,('Mass Ion Calculations'!$F$18+'AA Exact Masses'!$Q$3+'AA Exact Masses'!$Q$2-'Mass Ion Calculations'!$E$8-'Mass Ion Calculations'!$E39)/2-'Mass Ion Calculations'!$D$5),IF('Mass Ion Calculations'!$D$7="Yes", ('Mass Ion Calculations'!$D$15+'AA Exact Masses'!$Q$3+'AA Exact Masses'!$Q$2-'Mass Ion Calculations'!$C$8-'Mass Ion Calculations'!$C39)/2-'Mass Ion Calculations'!$D$5,('Mass Ion Calculations'!$F$15+'AA Exact Masses'!$Q$3+'AA Exact Masses'!$Q$2-'Mass Ion Calculations'!$E$8-'Mass Ion Calculations'!$E39)/2-'Mass Ion Calculations'!$D$5)))</f>
        <v/>
      </c>
      <c r="G38" s="3" t="str">
        <f>IF(OR($B38="",G$3=""),"",IF('Mass Ion Calculations'!$D$6="Yes",IF('Mass Ion Calculations'!$D$7="Yes",('Mass Ion Calculations'!$D$18+'AA Exact Masses'!$Q$3+'AA Exact Masses'!$Q$2-'Mass Ion Calculations'!$C$9-'Mass Ion Calculations'!$C39)/2-'Mass Ion Calculations'!$D$5,('Mass Ion Calculations'!$F$18+'AA Exact Masses'!$Q$3+'AA Exact Masses'!$Q$2-'Mass Ion Calculations'!$E$9-'Mass Ion Calculations'!$E39)/2-'Mass Ion Calculations'!$D$5),IF('Mass Ion Calculations'!$D$7="Yes", ('Mass Ion Calculations'!$D$15+'AA Exact Masses'!$Q$3+'AA Exact Masses'!$Q$2-'Mass Ion Calculations'!$C$9-'Mass Ion Calculations'!$C39)/2-'Mass Ion Calculations'!$D$5,('Mass Ion Calculations'!$F$15+'AA Exact Masses'!$Q$3+'AA Exact Masses'!$Q$2-'Mass Ion Calculations'!$E$9-'Mass Ion Calculations'!$E39)/2-'Mass Ion Calculations'!$D$5)))</f>
        <v/>
      </c>
      <c r="H38" s="3" t="str">
        <f>IF(OR($B38="",H$3=""),"",IF('Mass Ion Calculations'!$D$6="Yes",IF('Mass Ion Calculations'!$D$7="Yes",('Mass Ion Calculations'!$D$18+'AA Exact Masses'!$Q$3+'AA Exact Masses'!$Q$2-'Mass Ion Calculations'!$C$10-'Mass Ion Calculations'!$C39)/2-'Mass Ion Calculations'!$D$5,('Mass Ion Calculations'!$F$18+'AA Exact Masses'!$Q$3+'AA Exact Masses'!$Q$2-'Mass Ion Calculations'!$E$10-'Mass Ion Calculations'!$E39)/2-'Mass Ion Calculations'!$D$5),IF('Mass Ion Calculations'!$D$7="Yes", ('Mass Ion Calculations'!$D$15+'AA Exact Masses'!$Q$3+'AA Exact Masses'!$Q$2-'Mass Ion Calculations'!$C$10-'Mass Ion Calculations'!$C39)/2-'Mass Ion Calculations'!$D$5,('Mass Ion Calculations'!$F$15+'AA Exact Masses'!$Q$3+'AA Exact Masses'!$Q$2-'Mass Ion Calculations'!$E$10-'Mass Ion Calculations'!$E39)/2-'Mass Ion Calculations'!$D$5)))</f>
        <v/>
      </c>
      <c r="I38" s="3" t="str">
        <f>IF(OR($B38="",I$3=""),"",IF('Mass Ion Calculations'!$D$6="Yes",IF('Mass Ion Calculations'!$D$7="Yes",('Mass Ion Calculations'!$D$18+'AA Exact Masses'!$Q$3+'AA Exact Masses'!$Q$2-'Mass Ion Calculations'!$C$11-'Mass Ion Calculations'!$C39)/2-'Mass Ion Calculations'!$D$5,('Mass Ion Calculations'!$F$18+'AA Exact Masses'!$Q$3+'AA Exact Masses'!$Q$2-'Mass Ion Calculations'!$E$11-'Mass Ion Calculations'!$E39)/2-'Mass Ion Calculations'!$D$5),IF('Mass Ion Calculations'!$D$7="Yes", ('Mass Ion Calculations'!$D$15+'AA Exact Masses'!$Q$3+'AA Exact Masses'!$Q$2-'Mass Ion Calculations'!$C$11-'Mass Ion Calculations'!$C39)/2-'Mass Ion Calculations'!$D$5,('Mass Ion Calculations'!$F$15+'AA Exact Masses'!$Q$3+'AA Exact Masses'!$Q$2-'Mass Ion Calculations'!$E$11-'Mass Ion Calculations'!$E39)/2-'Mass Ion Calculations'!$D$5)))</f>
        <v/>
      </c>
      <c r="J38" s="3" t="str">
        <f>IF(OR($B38="",J$3=""),"",IF('Mass Ion Calculations'!$D$6="Yes",IF('Mass Ion Calculations'!$D$7="Yes",('Mass Ion Calculations'!$D$18+'AA Exact Masses'!$Q$3+'AA Exact Masses'!$Q$2-'Mass Ion Calculations'!$C$12-'Mass Ion Calculations'!$C39)/2-'Mass Ion Calculations'!$D$5,('Mass Ion Calculations'!$F$18+'AA Exact Masses'!$Q$3+'AA Exact Masses'!$Q$2-'Mass Ion Calculations'!$E$12-'Mass Ion Calculations'!$E39)/2-'Mass Ion Calculations'!$D$5),IF('Mass Ion Calculations'!$D$7="Yes", ('Mass Ion Calculations'!$D$15+'AA Exact Masses'!$Q$3+'AA Exact Masses'!$Q$2-'Mass Ion Calculations'!$C$12-'Mass Ion Calculations'!$C39)/2-'Mass Ion Calculations'!$D$5,('Mass Ion Calculations'!$F$15+'AA Exact Masses'!$Q$3+'AA Exact Masses'!$Q$2-'Mass Ion Calculations'!$E$12-'Mass Ion Calculations'!$E39)/2-'Mass Ion Calculations'!$D$5)))</f>
        <v/>
      </c>
      <c r="K38" s="3" t="str">
        <f>IF(OR($B38="",K$3=""),"",IF('Mass Ion Calculations'!$D$6="Yes",IF('Mass Ion Calculations'!$D$7="Yes",('Mass Ion Calculations'!$D$18+'AA Exact Masses'!$Q$3+'AA Exact Masses'!$Q$2-'Mass Ion Calculations'!$C$13-'Mass Ion Calculations'!$C39)/2-'Mass Ion Calculations'!$D$5,('Mass Ion Calculations'!$F$18+'AA Exact Masses'!$Q$3+'AA Exact Masses'!$Q$2-'Mass Ion Calculations'!$E$14-'Mass Ion Calculations'!$E39)/2-'Mass Ion Calculations'!$D$5),IF('Mass Ion Calculations'!$D$7="Yes", ('Mass Ion Calculations'!$D$15+'AA Exact Masses'!$Q$3+'AA Exact Masses'!$Q$2-'Mass Ion Calculations'!$C$13-'Mass Ion Calculations'!$C39)/2-'Mass Ion Calculations'!$D$5,('Mass Ion Calculations'!$F$15+'AA Exact Masses'!$Q$3+'AA Exact Masses'!$Q$2-'Mass Ion Calculations'!$E$14-'Mass Ion Calculations'!$E39)/2-'Mass Ion Calculations'!$D$5)))</f>
        <v/>
      </c>
      <c r="L38" s="3" t="str">
        <f>IF(OR($B38="",L$3=""),"",IF('Mass Ion Calculations'!$D$6="Yes",IF('Mass Ion Calculations'!$D$7="Yes",('Mass Ion Calculations'!$D$18+'AA Exact Masses'!$Q$3+'AA Exact Masses'!$Q$2-'Mass Ion Calculations'!$C$14-'Mass Ion Calculations'!$C39)/2-'Mass Ion Calculations'!$D$5,('Mass Ion Calculations'!$F$18+'AA Exact Masses'!$Q$3+'AA Exact Masses'!$Q$2-'Mass Ion Calculations'!$E$15-'Mass Ion Calculations'!$E39)/2-'Mass Ion Calculations'!$D$5),IF('Mass Ion Calculations'!$D$7="Yes", ('Mass Ion Calculations'!$D$15+'AA Exact Masses'!$Q$3+'AA Exact Masses'!$Q$2-'Mass Ion Calculations'!$C$14-'Mass Ion Calculations'!$C39)/2-'Mass Ion Calculations'!$D$5,('Mass Ion Calculations'!$F$15+'AA Exact Masses'!$Q$3+'AA Exact Masses'!$Q$2-'Mass Ion Calculations'!$E$15-'Mass Ion Calculations'!$E39)/2-'Mass Ion Calculations'!$D$5)))</f>
        <v/>
      </c>
      <c r="M38" s="3" t="str">
        <f>IF(OR($B38="",M$3=""),"",IF('Mass Ion Calculations'!$D$6="Yes",IF('Mass Ion Calculations'!$D$7="Yes",('Mass Ion Calculations'!$D$18+'AA Exact Masses'!$Q$3+'AA Exact Masses'!$Q$2-'Mass Ion Calculations'!$C$15-'Mass Ion Calculations'!$C39)/2-'Mass Ion Calculations'!$D$5,('Mass Ion Calculations'!$F$18+'AA Exact Masses'!$Q$3+'AA Exact Masses'!$Q$2-'Mass Ion Calculations'!$E$16-'Mass Ion Calculations'!$E39)/2-'Mass Ion Calculations'!$D$5),IF('Mass Ion Calculations'!$D$7="Yes", ('Mass Ion Calculations'!$D$15+'AA Exact Masses'!$Q$3+'AA Exact Masses'!$Q$2-'Mass Ion Calculations'!$C$15-'Mass Ion Calculations'!$C39)/2-'Mass Ion Calculations'!$D$5,('Mass Ion Calculations'!$F$15+'AA Exact Masses'!$Q$3+'AA Exact Masses'!$Q$2-'Mass Ion Calculations'!$E$16-'Mass Ion Calculations'!$E39)/2-'Mass Ion Calculations'!$D$5)))</f>
        <v/>
      </c>
      <c r="N38" s="3" t="str">
        <f>IF(OR($B38="",N$3=""),"",IF('Mass Ion Calculations'!$D$6="Yes",IF('Mass Ion Calculations'!$D$7="Yes",('Mass Ion Calculations'!$D$18+'AA Exact Masses'!$Q$3+'AA Exact Masses'!$Q$2-'Mass Ion Calculations'!$C$16-'Mass Ion Calculations'!$C39)/2-'Mass Ion Calculations'!$D$5,('Mass Ion Calculations'!$F$18+'AA Exact Masses'!$Q$3+'AA Exact Masses'!$Q$2-'Mass Ion Calculations'!$E$17-'Mass Ion Calculations'!$E39)/2-'Mass Ion Calculations'!$D$5),IF('Mass Ion Calculations'!$D$7="Yes", ('Mass Ion Calculations'!$D$15+'AA Exact Masses'!$Q$3+'AA Exact Masses'!$Q$2-'Mass Ion Calculations'!$C$16-'Mass Ion Calculations'!$C39)/2-'Mass Ion Calculations'!$D$5,('Mass Ion Calculations'!$F$15+'AA Exact Masses'!$Q$3+'AA Exact Masses'!$Q$2-'Mass Ion Calculations'!$E$17-'Mass Ion Calculations'!$E39)/2-'Mass Ion Calculations'!$D$5)))</f>
        <v/>
      </c>
      <c r="O38" s="3" t="str">
        <f>IF(OR($B38="",O$3=""),"",IF('Mass Ion Calculations'!$D$6="Yes",IF('Mass Ion Calculations'!$D$7="Yes",('Mass Ion Calculations'!$D$18+'AA Exact Masses'!$Q$3+'AA Exact Masses'!$Q$2-'Mass Ion Calculations'!$C$17-'Mass Ion Calculations'!$C39)/2-'Mass Ion Calculations'!$D$5,('Mass Ion Calculations'!$F$18+'AA Exact Masses'!$Q$3+'AA Exact Masses'!$Q$2-'Mass Ion Calculations'!$E$18-'Mass Ion Calculations'!$E39)/2-'Mass Ion Calculations'!$D$5),IF('Mass Ion Calculations'!$D$7="Yes", ('Mass Ion Calculations'!$D$15+'AA Exact Masses'!$Q$3+'AA Exact Masses'!$Q$2-'Mass Ion Calculations'!$C$17-'Mass Ion Calculations'!$C39)/2-'Mass Ion Calculations'!$D$5,('Mass Ion Calculations'!$F$15+'AA Exact Masses'!$Q$3+'AA Exact Masses'!$Q$2-'Mass Ion Calculations'!$E$18-'Mass Ion Calculations'!$E39)/2-'Mass Ion Calculations'!$D$5)))</f>
        <v/>
      </c>
      <c r="P38" s="3" t="str">
        <f>IF(OR($B38="",P$3=""),"",IF('Mass Ion Calculations'!$D$6="Yes",IF('Mass Ion Calculations'!$D$7="Yes",('Mass Ion Calculations'!$D$18+'AA Exact Masses'!$Q$3+'AA Exact Masses'!$Q$2-'Mass Ion Calculations'!$C$19-'Mass Ion Calculations'!$C39)/2-'Mass Ion Calculations'!$D$5,('Mass Ion Calculations'!$F$18+'AA Exact Masses'!$Q$3+'AA Exact Masses'!$Q$2-'Mass Ion Calculations'!$E$19-'Mass Ion Calculations'!$E39)/2-'Mass Ion Calculations'!$D$5),IF('Mass Ion Calculations'!$D$7="Yes", ('Mass Ion Calculations'!$D$15+'AA Exact Masses'!$Q$3+'AA Exact Masses'!$Q$2-'Mass Ion Calculations'!$C$19-'Mass Ion Calculations'!$C39)/2-'Mass Ion Calculations'!$D$5,('Mass Ion Calculations'!$F$15+'AA Exact Masses'!$Q$3+'AA Exact Masses'!$Q$2-'Mass Ion Calculations'!$E$19-'Mass Ion Calculations'!$E39)/2-'Mass Ion Calculations'!$D$5)))</f>
        <v/>
      </c>
      <c r="Q38" s="3" t="str">
        <f>IF(OR($B38="",Q$3=""),"",IF('Mass Ion Calculations'!$D$6="Yes",IF('Mass Ion Calculations'!$D$7="Yes",('Mass Ion Calculations'!$D$18+'AA Exact Masses'!$Q$3+'AA Exact Masses'!$Q$2-'Mass Ion Calculations'!$C$20-'Mass Ion Calculations'!$C39)/2-'Mass Ion Calculations'!$D$5,('Mass Ion Calculations'!$F$18+'AA Exact Masses'!$Q$3+'AA Exact Masses'!$Q$2-'Mass Ion Calculations'!$E$20-'Mass Ion Calculations'!$E39)/2-'Mass Ion Calculations'!$D$5),IF('Mass Ion Calculations'!$D$7="Yes", ('Mass Ion Calculations'!$D$15+'AA Exact Masses'!$Q$3+'AA Exact Masses'!$Q$2-'Mass Ion Calculations'!$C$20-'Mass Ion Calculations'!$C39)/2-'Mass Ion Calculations'!$D$5,('Mass Ion Calculations'!$F$15+'AA Exact Masses'!$Q$3+'AA Exact Masses'!$Q$2-'Mass Ion Calculations'!$E$20-'Mass Ion Calculations'!$E39)/2-'Mass Ion Calculations'!$D$5)))</f>
        <v/>
      </c>
      <c r="R38" s="3" t="str">
        <f>IF(OR($B38="",R$3=""),"",IF('Mass Ion Calculations'!$D$6="Yes",IF('Mass Ion Calculations'!$D$7="Yes",('Mass Ion Calculations'!$D$18+'AA Exact Masses'!$Q$3+'AA Exact Masses'!$Q$2-'Mass Ion Calculations'!$C$21-'Mass Ion Calculations'!$C39)/2-'Mass Ion Calculations'!$D$5,('Mass Ion Calculations'!$F$18+'AA Exact Masses'!$Q$3+'AA Exact Masses'!$Q$2-'Mass Ion Calculations'!$E$21-'Mass Ion Calculations'!$E39)/2-'Mass Ion Calculations'!$D$5),IF('Mass Ion Calculations'!$D$7="Yes", ('Mass Ion Calculations'!$D$15+'AA Exact Masses'!$Q$3+'AA Exact Masses'!$Q$2-'Mass Ion Calculations'!$C$21-'Mass Ion Calculations'!$C39)/2-'Mass Ion Calculations'!$D$5,('Mass Ion Calculations'!$F$15+'AA Exact Masses'!$Q$3+'AA Exact Masses'!$Q$2-'Mass Ion Calculations'!$E$21-'Mass Ion Calculations'!$E39)/2-'Mass Ion Calculations'!$D$5)))</f>
        <v/>
      </c>
      <c r="S38" s="3" t="str">
        <f>IF(OR($B38="",S$3=""),"",IF('Mass Ion Calculations'!$D$6="Yes",IF('Mass Ion Calculations'!$D$7="Yes",('Mass Ion Calculations'!$D$18+'AA Exact Masses'!$Q$3+'AA Exact Masses'!$Q$2-'Mass Ion Calculations'!$C$22-'Mass Ion Calculations'!$C39)/2-'Mass Ion Calculations'!$D$5,('Mass Ion Calculations'!$F$18+'AA Exact Masses'!$Q$3+'AA Exact Masses'!$Q$2-'Mass Ion Calculations'!$E$22-'Mass Ion Calculations'!$E39)/2-'Mass Ion Calculations'!$D$5),IF('Mass Ion Calculations'!$D$7="Yes", ('Mass Ion Calculations'!$D$15+'AA Exact Masses'!$Q$3+'AA Exact Masses'!$Q$2-'Mass Ion Calculations'!$C$22-'Mass Ion Calculations'!$C39)/2-'Mass Ion Calculations'!$D$5,('Mass Ion Calculations'!$F$15+'AA Exact Masses'!$Q$3+'AA Exact Masses'!$Q$2-'Mass Ion Calculations'!$E$22-'Mass Ion Calculations'!$E39)/2-'Mass Ion Calculations'!$D$5)))</f>
        <v/>
      </c>
    </row>
    <row r="39" spans="3:19" x14ac:dyDescent="0.25">
      <c r="C39" s="3" t="str">
        <f>IF(OR($B39="",C$3=""),"",IF('Mass Ion Calculations'!$D$6="Yes",IF('Mass Ion Calculations'!$D$7="Yes",('Mass Ion Calculations'!$D$18+'AA Exact Masses'!$Q$3+'AA Exact Masses'!$Q$2-'Mass Ion Calculations'!$C$5-'Mass Ion Calculations'!$C40)/2-'Mass Ion Calculations'!$D$5,('Mass Ion Calculations'!$F$18+'AA Exact Masses'!$Q$3+'AA Exact Masses'!$Q$2-'Mass Ion Calculations'!$E$5-'Mass Ion Calculations'!$E40)/2-'Mass Ion Calculations'!$D$5),IF('Mass Ion Calculations'!$D$7="Yes", ('Mass Ion Calculations'!$D$15+'AA Exact Masses'!$Q$3+'AA Exact Masses'!$Q$2-'Mass Ion Calculations'!$C$5-'Mass Ion Calculations'!$C40)/2-'Mass Ion Calculations'!$D$5,('Mass Ion Calculations'!$F$15+'AA Exact Masses'!$Q$3+'AA Exact Masses'!$Q$2-'Mass Ion Calculations'!$E$5-'Mass Ion Calculations'!$E40)/2-'Mass Ion Calculations'!$D$5)))</f>
        <v/>
      </c>
      <c r="D39" s="3" t="str">
        <f>IF(OR($B39="",D$3=""),"",IF('Mass Ion Calculations'!$D$6="Yes",IF('Mass Ion Calculations'!$D$7="Yes",('Mass Ion Calculations'!$D$18+'AA Exact Masses'!$Q$3+'AA Exact Masses'!$Q$2-'Mass Ion Calculations'!$C$6-'Mass Ion Calculations'!$C40)/2-'Mass Ion Calculations'!$D$5,('Mass Ion Calculations'!$F$18+'AA Exact Masses'!$Q$3+'AA Exact Masses'!$Q$2-'Mass Ion Calculations'!$E$6-'Mass Ion Calculations'!$E40)/2-'Mass Ion Calculations'!$D$5),IF('Mass Ion Calculations'!$D$7="Yes", ('Mass Ion Calculations'!$D$15+'AA Exact Masses'!$Q$3+'AA Exact Masses'!$Q$2-'Mass Ion Calculations'!$C$6-'Mass Ion Calculations'!$C40)/2-'Mass Ion Calculations'!$D$5,('Mass Ion Calculations'!$F$15+'AA Exact Masses'!$Q$3+'AA Exact Masses'!$Q$2-'Mass Ion Calculations'!$E$6-'Mass Ion Calculations'!$E40)/2-'Mass Ion Calculations'!$D$5)))</f>
        <v/>
      </c>
      <c r="E39" s="3" t="str">
        <f>IF(OR($B39="",E$3=""),"",IF('Mass Ion Calculations'!$D$6="Yes",IF('Mass Ion Calculations'!$D$7="Yes",('Mass Ion Calculations'!$D$18+'AA Exact Masses'!$Q$3+'AA Exact Masses'!$Q$2-'Mass Ion Calculations'!$C$7-'Mass Ion Calculations'!$C40)/2-'Mass Ion Calculations'!$D$5,('Mass Ion Calculations'!$F$18+'AA Exact Masses'!$Q$3+'AA Exact Masses'!$Q$2-'Mass Ion Calculations'!$E$7-'Mass Ion Calculations'!$E40)/2-'Mass Ion Calculations'!$D$5),IF('Mass Ion Calculations'!$D$7="Yes", ('Mass Ion Calculations'!$D$15+'AA Exact Masses'!$Q$3+'AA Exact Masses'!$Q$2-'Mass Ion Calculations'!$C$7-'Mass Ion Calculations'!$C40)/2-'Mass Ion Calculations'!$D$5,('Mass Ion Calculations'!$F$15+'AA Exact Masses'!$Q$3+'AA Exact Masses'!$Q$2-'Mass Ion Calculations'!$E$7-'Mass Ion Calculations'!$E40)/2-'Mass Ion Calculations'!$D$5)))</f>
        <v/>
      </c>
      <c r="F39" s="3" t="str">
        <f>IF(OR($B39="",F$3=""),"",IF('Mass Ion Calculations'!$D$6="Yes",IF('Mass Ion Calculations'!$D$7="Yes",('Mass Ion Calculations'!$D$18+'AA Exact Masses'!$Q$3+'AA Exact Masses'!$Q$2-'Mass Ion Calculations'!$C$8-'Mass Ion Calculations'!$C40)/2-'Mass Ion Calculations'!$D$5,('Mass Ion Calculations'!$F$18+'AA Exact Masses'!$Q$3+'AA Exact Masses'!$Q$2-'Mass Ion Calculations'!$E$8-'Mass Ion Calculations'!$E40)/2-'Mass Ion Calculations'!$D$5),IF('Mass Ion Calculations'!$D$7="Yes", ('Mass Ion Calculations'!$D$15+'AA Exact Masses'!$Q$3+'AA Exact Masses'!$Q$2-'Mass Ion Calculations'!$C$8-'Mass Ion Calculations'!$C40)/2-'Mass Ion Calculations'!$D$5,('Mass Ion Calculations'!$F$15+'AA Exact Masses'!$Q$3+'AA Exact Masses'!$Q$2-'Mass Ion Calculations'!$E$8-'Mass Ion Calculations'!$E40)/2-'Mass Ion Calculations'!$D$5)))</f>
        <v/>
      </c>
      <c r="G39" s="3" t="str">
        <f>IF(OR($B39="",G$3=""),"",IF('Mass Ion Calculations'!$D$6="Yes",IF('Mass Ion Calculations'!$D$7="Yes",('Mass Ion Calculations'!$D$18+'AA Exact Masses'!$Q$3+'AA Exact Masses'!$Q$2-'Mass Ion Calculations'!$C$9-'Mass Ion Calculations'!$C40)/2-'Mass Ion Calculations'!$D$5,('Mass Ion Calculations'!$F$18+'AA Exact Masses'!$Q$3+'AA Exact Masses'!$Q$2-'Mass Ion Calculations'!$E$9-'Mass Ion Calculations'!$E40)/2-'Mass Ion Calculations'!$D$5),IF('Mass Ion Calculations'!$D$7="Yes", ('Mass Ion Calculations'!$D$15+'AA Exact Masses'!$Q$3+'AA Exact Masses'!$Q$2-'Mass Ion Calculations'!$C$9-'Mass Ion Calculations'!$C40)/2-'Mass Ion Calculations'!$D$5,('Mass Ion Calculations'!$F$15+'AA Exact Masses'!$Q$3+'AA Exact Masses'!$Q$2-'Mass Ion Calculations'!$E$9-'Mass Ion Calculations'!$E40)/2-'Mass Ion Calculations'!$D$5)))</f>
        <v/>
      </c>
      <c r="H39" s="3" t="str">
        <f>IF(OR($B39="",H$3=""),"",IF('Mass Ion Calculations'!$D$6="Yes",IF('Mass Ion Calculations'!$D$7="Yes",('Mass Ion Calculations'!$D$18+'AA Exact Masses'!$Q$3+'AA Exact Masses'!$Q$2-'Mass Ion Calculations'!$C$10-'Mass Ion Calculations'!$C40)/2-'Mass Ion Calculations'!$D$5,('Mass Ion Calculations'!$F$18+'AA Exact Masses'!$Q$3+'AA Exact Masses'!$Q$2-'Mass Ion Calculations'!$E$10-'Mass Ion Calculations'!$E40)/2-'Mass Ion Calculations'!$D$5),IF('Mass Ion Calculations'!$D$7="Yes", ('Mass Ion Calculations'!$D$15+'AA Exact Masses'!$Q$3+'AA Exact Masses'!$Q$2-'Mass Ion Calculations'!$C$10-'Mass Ion Calculations'!$C40)/2-'Mass Ion Calculations'!$D$5,('Mass Ion Calculations'!$F$15+'AA Exact Masses'!$Q$3+'AA Exact Masses'!$Q$2-'Mass Ion Calculations'!$E$10-'Mass Ion Calculations'!$E40)/2-'Mass Ion Calculations'!$D$5)))</f>
        <v/>
      </c>
      <c r="I39" s="3" t="str">
        <f>IF(OR($B39="",I$3=""),"",IF('Mass Ion Calculations'!$D$6="Yes",IF('Mass Ion Calculations'!$D$7="Yes",('Mass Ion Calculations'!$D$18+'AA Exact Masses'!$Q$3+'AA Exact Masses'!$Q$2-'Mass Ion Calculations'!$C$11-'Mass Ion Calculations'!$C40)/2-'Mass Ion Calculations'!$D$5,('Mass Ion Calculations'!$F$18+'AA Exact Masses'!$Q$3+'AA Exact Masses'!$Q$2-'Mass Ion Calculations'!$E$11-'Mass Ion Calculations'!$E40)/2-'Mass Ion Calculations'!$D$5),IF('Mass Ion Calculations'!$D$7="Yes", ('Mass Ion Calculations'!$D$15+'AA Exact Masses'!$Q$3+'AA Exact Masses'!$Q$2-'Mass Ion Calculations'!$C$11-'Mass Ion Calculations'!$C40)/2-'Mass Ion Calculations'!$D$5,('Mass Ion Calculations'!$F$15+'AA Exact Masses'!$Q$3+'AA Exact Masses'!$Q$2-'Mass Ion Calculations'!$E$11-'Mass Ion Calculations'!$E40)/2-'Mass Ion Calculations'!$D$5)))</f>
        <v/>
      </c>
      <c r="J39" s="3" t="str">
        <f>IF(OR($B39="",J$3=""),"",IF('Mass Ion Calculations'!$D$6="Yes",IF('Mass Ion Calculations'!$D$7="Yes",('Mass Ion Calculations'!$D$18+'AA Exact Masses'!$Q$3+'AA Exact Masses'!$Q$2-'Mass Ion Calculations'!$C$12-'Mass Ion Calculations'!$C40)/2-'Mass Ion Calculations'!$D$5,('Mass Ion Calculations'!$F$18+'AA Exact Masses'!$Q$3+'AA Exact Masses'!$Q$2-'Mass Ion Calculations'!$E$12-'Mass Ion Calculations'!$E40)/2-'Mass Ion Calculations'!$D$5),IF('Mass Ion Calculations'!$D$7="Yes", ('Mass Ion Calculations'!$D$15+'AA Exact Masses'!$Q$3+'AA Exact Masses'!$Q$2-'Mass Ion Calculations'!$C$12-'Mass Ion Calculations'!$C40)/2-'Mass Ion Calculations'!$D$5,('Mass Ion Calculations'!$F$15+'AA Exact Masses'!$Q$3+'AA Exact Masses'!$Q$2-'Mass Ion Calculations'!$E$12-'Mass Ion Calculations'!$E40)/2-'Mass Ion Calculations'!$D$5)))</f>
        <v/>
      </c>
      <c r="K39" s="3" t="str">
        <f>IF(OR($B39="",K$3=""),"",IF('Mass Ion Calculations'!$D$6="Yes",IF('Mass Ion Calculations'!$D$7="Yes",('Mass Ion Calculations'!$D$18+'AA Exact Masses'!$Q$3+'AA Exact Masses'!$Q$2-'Mass Ion Calculations'!$C$13-'Mass Ion Calculations'!$C40)/2-'Mass Ion Calculations'!$D$5,('Mass Ion Calculations'!$F$18+'AA Exact Masses'!$Q$3+'AA Exact Masses'!$Q$2-'Mass Ion Calculations'!$E$14-'Mass Ion Calculations'!$E40)/2-'Mass Ion Calculations'!$D$5),IF('Mass Ion Calculations'!$D$7="Yes", ('Mass Ion Calculations'!$D$15+'AA Exact Masses'!$Q$3+'AA Exact Masses'!$Q$2-'Mass Ion Calculations'!$C$13-'Mass Ion Calculations'!$C40)/2-'Mass Ion Calculations'!$D$5,('Mass Ion Calculations'!$F$15+'AA Exact Masses'!$Q$3+'AA Exact Masses'!$Q$2-'Mass Ion Calculations'!$E$14-'Mass Ion Calculations'!$E40)/2-'Mass Ion Calculations'!$D$5)))</f>
        <v/>
      </c>
      <c r="L39" s="3" t="str">
        <f>IF(OR($B39="",L$3=""),"",IF('Mass Ion Calculations'!$D$6="Yes",IF('Mass Ion Calculations'!$D$7="Yes",('Mass Ion Calculations'!$D$18+'AA Exact Masses'!$Q$3+'AA Exact Masses'!$Q$2-'Mass Ion Calculations'!$C$14-'Mass Ion Calculations'!$C40)/2-'Mass Ion Calculations'!$D$5,('Mass Ion Calculations'!$F$18+'AA Exact Masses'!$Q$3+'AA Exact Masses'!$Q$2-'Mass Ion Calculations'!$E$15-'Mass Ion Calculations'!$E40)/2-'Mass Ion Calculations'!$D$5),IF('Mass Ion Calculations'!$D$7="Yes", ('Mass Ion Calculations'!$D$15+'AA Exact Masses'!$Q$3+'AA Exact Masses'!$Q$2-'Mass Ion Calculations'!$C$14-'Mass Ion Calculations'!$C40)/2-'Mass Ion Calculations'!$D$5,('Mass Ion Calculations'!$F$15+'AA Exact Masses'!$Q$3+'AA Exact Masses'!$Q$2-'Mass Ion Calculations'!$E$15-'Mass Ion Calculations'!$E40)/2-'Mass Ion Calculations'!$D$5)))</f>
        <v/>
      </c>
      <c r="M39" s="3" t="str">
        <f>IF(OR($B39="",M$3=""),"",IF('Mass Ion Calculations'!$D$6="Yes",IF('Mass Ion Calculations'!$D$7="Yes",('Mass Ion Calculations'!$D$18+'AA Exact Masses'!$Q$3+'AA Exact Masses'!$Q$2-'Mass Ion Calculations'!$C$15-'Mass Ion Calculations'!$C40)/2-'Mass Ion Calculations'!$D$5,('Mass Ion Calculations'!$F$18+'AA Exact Masses'!$Q$3+'AA Exact Masses'!$Q$2-'Mass Ion Calculations'!$E$16-'Mass Ion Calculations'!$E40)/2-'Mass Ion Calculations'!$D$5),IF('Mass Ion Calculations'!$D$7="Yes", ('Mass Ion Calculations'!$D$15+'AA Exact Masses'!$Q$3+'AA Exact Masses'!$Q$2-'Mass Ion Calculations'!$C$15-'Mass Ion Calculations'!$C40)/2-'Mass Ion Calculations'!$D$5,('Mass Ion Calculations'!$F$15+'AA Exact Masses'!$Q$3+'AA Exact Masses'!$Q$2-'Mass Ion Calculations'!$E$16-'Mass Ion Calculations'!$E40)/2-'Mass Ion Calculations'!$D$5)))</f>
        <v/>
      </c>
      <c r="N39" s="3" t="str">
        <f>IF(OR($B39="",N$3=""),"",IF('Mass Ion Calculations'!$D$6="Yes",IF('Mass Ion Calculations'!$D$7="Yes",('Mass Ion Calculations'!$D$18+'AA Exact Masses'!$Q$3+'AA Exact Masses'!$Q$2-'Mass Ion Calculations'!$C$16-'Mass Ion Calculations'!$C40)/2-'Mass Ion Calculations'!$D$5,('Mass Ion Calculations'!$F$18+'AA Exact Masses'!$Q$3+'AA Exact Masses'!$Q$2-'Mass Ion Calculations'!$E$17-'Mass Ion Calculations'!$E40)/2-'Mass Ion Calculations'!$D$5),IF('Mass Ion Calculations'!$D$7="Yes", ('Mass Ion Calculations'!$D$15+'AA Exact Masses'!$Q$3+'AA Exact Masses'!$Q$2-'Mass Ion Calculations'!$C$16-'Mass Ion Calculations'!$C40)/2-'Mass Ion Calculations'!$D$5,('Mass Ion Calculations'!$F$15+'AA Exact Masses'!$Q$3+'AA Exact Masses'!$Q$2-'Mass Ion Calculations'!$E$17-'Mass Ion Calculations'!$E40)/2-'Mass Ion Calculations'!$D$5)))</f>
        <v/>
      </c>
      <c r="O39" s="3" t="str">
        <f>IF(OR($B39="",O$3=""),"",IF('Mass Ion Calculations'!$D$6="Yes",IF('Mass Ion Calculations'!$D$7="Yes",('Mass Ion Calculations'!$D$18+'AA Exact Masses'!$Q$3+'AA Exact Masses'!$Q$2-'Mass Ion Calculations'!$C$17-'Mass Ion Calculations'!$C40)/2-'Mass Ion Calculations'!$D$5,('Mass Ion Calculations'!$F$18+'AA Exact Masses'!$Q$3+'AA Exact Masses'!$Q$2-'Mass Ion Calculations'!$E$18-'Mass Ion Calculations'!$E40)/2-'Mass Ion Calculations'!$D$5),IF('Mass Ion Calculations'!$D$7="Yes", ('Mass Ion Calculations'!$D$15+'AA Exact Masses'!$Q$3+'AA Exact Masses'!$Q$2-'Mass Ion Calculations'!$C$17-'Mass Ion Calculations'!$C40)/2-'Mass Ion Calculations'!$D$5,('Mass Ion Calculations'!$F$15+'AA Exact Masses'!$Q$3+'AA Exact Masses'!$Q$2-'Mass Ion Calculations'!$E$18-'Mass Ion Calculations'!$E40)/2-'Mass Ion Calculations'!$D$5)))</f>
        <v/>
      </c>
      <c r="P39" s="3" t="str">
        <f>IF(OR($B39="",P$3=""),"",IF('Mass Ion Calculations'!$D$6="Yes",IF('Mass Ion Calculations'!$D$7="Yes",('Mass Ion Calculations'!$D$18+'AA Exact Masses'!$Q$3+'AA Exact Masses'!$Q$2-'Mass Ion Calculations'!$C$19-'Mass Ion Calculations'!$C40)/2-'Mass Ion Calculations'!$D$5,('Mass Ion Calculations'!$F$18+'AA Exact Masses'!$Q$3+'AA Exact Masses'!$Q$2-'Mass Ion Calculations'!$E$19-'Mass Ion Calculations'!$E40)/2-'Mass Ion Calculations'!$D$5),IF('Mass Ion Calculations'!$D$7="Yes", ('Mass Ion Calculations'!$D$15+'AA Exact Masses'!$Q$3+'AA Exact Masses'!$Q$2-'Mass Ion Calculations'!$C$19-'Mass Ion Calculations'!$C40)/2-'Mass Ion Calculations'!$D$5,('Mass Ion Calculations'!$F$15+'AA Exact Masses'!$Q$3+'AA Exact Masses'!$Q$2-'Mass Ion Calculations'!$E$19-'Mass Ion Calculations'!$E40)/2-'Mass Ion Calculations'!$D$5)))</f>
        <v/>
      </c>
      <c r="Q39" s="3" t="str">
        <f>IF(OR($B39="",Q$3=""),"",IF('Mass Ion Calculations'!$D$6="Yes",IF('Mass Ion Calculations'!$D$7="Yes",('Mass Ion Calculations'!$D$18+'AA Exact Masses'!$Q$3+'AA Exact Masses'!$Q$2-'Mass Ion Calculations'!$C$20-'Mass Ion Calculations'!$C40)/2-'Mass Ion Calculations'!$D$5,('Mass Ion Calculations'!$F$18+'AA Exact Masses'!$Q$3+'AA Exact Masses'!$Q$2-'Mass Ion Calculations'!$E$20-'Mass Ion Calculations'!$E40)/2-'Mass Ion Calculations'!$D$5),IF('Mass Ion Calculations'!$D$7="Yes", ('Mass Ion Calculations'!$D$15+'AA Exact Masses'!$Q$3+'AA Exact Masses'!$Q$2-'Mass Ion Calculations'!$C$20-'Mass Ion Calculations'!$C40)/2-'Mass Ion Calculations'!$D$5,('Mass Ion Calculations'!$F$15+'AA Exact Masses'!$Q$3+'AA Exact Masses'!$Q$2-'Mass Ion Calculations'!$E$20-'Mass Ion Calculations'!$E40)/2-'Mass Ion Calculations'!$D$5)))</f>
        <v/>
      </c>
      <c r="R39" s="3" t="str">
        <f>IF(OR($B39="",R$3=""),"",IF('Mass Ion Calculations'!$D$6="Yes",IF('Mass Ion Calculations'!$D$7="Yes",('Mass Ion Calculations'!$D$18+'AA Exact Masses'!$Q$3+'AA Exact Masses'!$Q$2-'Mass Ion Calculations'!$C$21-'Mass Ion Calculations'!$C40)/2-'Mass Ion Calculations'!$D$5,('Mass Ion Calculations'!$F$18+'AA Exact Masses'!$Q$3+'AA Exact Masses'!$Q$2-'Mass Ion Calculations'!$E$21-'Mass Ion Calculations'!$E40)/2-'Mass Ion Calculations'!$D$5),IF('Mass Ion Calculations'!$D$7="Yes", ('Mass Ion Calculations'!$D$15+'AA Exact Masses'!$Q$3+'AA Exact Masses'!$Q$2-'Mass Ion Calculations'!$C$21-'Mass Ion Calculations'!$C40)/2-'Mass Ion Calculations'!$D$5,('Mass Ion Calculations'!$F$15+'AA Exact Masses'!$Q$3+'AA Exact Masses'!$Q$2-'Mass Ion Calculations'!$E$21-'Mass Ion Calculations'!$E40)/2-'Mass Ion Calculations'!$D$5)))</f>
        <v/>
      </c>
      <c r="S39" s="3" t="str">
        <f>IF(OR($B39="",S$3=""),"",IF('Mass Ion Calculations'!$D$6="Yes",IF('Mass Ion Calculations'!$D$7="Yes",('Mass Ion Calculations'!$D$18+'AA Exact Masses'!$Q$3+'AA Exact Masses'!$Q$2-'Mass Ion Calculations'!$C$22-'Mass Ion Calculations'!$C40)/2-'Mass Ion Calculations'!$D$5,('Mass Ion Calculations'!$F$18+'AA Exact Masses'!$Q$3+'AA Exact Masses'!$Q$2-'Mass Ion Calculations'!$E$22-'Mass Ion Calculations'!$E40)/2-'Mass Ion Calculations'!$D$5),IF('Mass Ion Calculations'!$D$7="Yes", ('Mass Ion Calculations'!$D$15+'AA Exact Masses'!$Q$3+'AA Exact Masses'!$Q$2-'Mass Ion Calculations'!$C$22-'Mass Ion Calculations'!$C40)/2-'Mass Ion Calculations'!$D$5,('Mass Ion Calculations'!$F$15+'AA Exact Masses'!$Q$3+'AA Exact Masses'!$Q$2-'Mass Ion Calculations'!$E$22-'Mass Ion Calculations'!$E40)/2-'Mass Ion Calculations'!$D$5)))</f>
        <v/>
      </c>
    </row>
  </sheetData>
  <conditionalFormatting sqref="C4:Z4 T5:Z30 C5:S39">
    <cfRule type="cellIs" dxfId="4" priority="1" operator="between">
      <formula>2</formula>
      <formula>-2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Z30"/>
  <sheetViews>
    <sheetView workbookViewId="0">
      <selection activeCell="M4" sqref="M4"/>
    </sheetView>
  </sheetViews>
  <sheetFormatPr defaultRowHeight="15" x14ac:dyDescent="0.25"/>
  <sheetData>
    <row r="1" spans="2:26" x14ac:dyDescent="0.25">
      <c r="E1" t="s">
        <v>77</v>
      </c>
      <c r="G1" s="24" t="str">
        <f>IF('Mass Ion Calculations'!$D$6="Yes","Cyclic","Linear")</f>
        <v>Cyclic</v>
      </c>
      <c r="H1" s="24" t="str">
        <f>IF('Mass Ion Calculations'!$D$7="Yes","Protected","Deprotected")</f>
        <v>Deprotected</v>
      </c>
    </row>
    <row r="2" spans="2:26" x14ac:dyDescent="0.25">
      <c r="D2" t="s">
        <v>50</v>
      </c>
    </row>
    <row r="3" spans="2:26" x14ac:dyDescent="0.25">
      <c r="B3" s="4" t="s">
        <v>43</v>
      </c>
      <c r="C3" s="4" t="str">
        <f>IF('Mass Ion Calculations'!$B5="","",'Mass Ion Calculations'!$B5)</f>
        <v>Orn(Boc)</v>
      </c>
      <c r="D3" s="4" t="str">
        <f>IF('Mass Ion Calculations'!$B6="","",'Mass Ion Calculations'!$B6)</f>
        <v>Ala</v>
      </c>
      <c r="E3" s="4" t="str">
        <f>IF('Mass Ion Calculations'!$B7="","",'Mass Ion Calculations'!$B7)</f>
        <v>Ile</v>
      </c>
      <c r="F3" s="4" t="str">
        <f>IF('Mass Ion Calculations'!$B8="","",'Mass Ion Calculations'!$B8)</f>
        <v>Ile</v>
      </c>
      <c r="G3" s="4" t="str">
        <f>IF('Mass Ion Calculations'!$B9="","",'Mass Ion Calculations'!$B9)</f>
        <v>N-Meth-Gly</v>
      </c>
      <c r="H3" s="4" t="str">
        <f>IF('Mass Ion Calculations'!$B10="","",'Mass Ion Calculations'!$B10)</f>
        <v>Leu</v>
      </c>
      <c r="I3" s="4" t="str">
        <f>IF('Mass Ion Calculations'!$B11="","",'Mass Ion Calculations'!$B11)</f>
        <v>Orn(Boc)</v>
      </c>
      <c r="J3" s="4" t="str">
        <f>IF('Mass Ion Calculations'!$B12="","",'Mass Ion Calculations'!$B12)</f>
        <v>Val</v>
      </c>
      <c r="K3" s="4" t="str">
        <f>IF('Mass Ion Calculations'!$B13="","",'Mass Ion Calculations'!$B13)</f>
        <v>Orn(Boc)</v>
      </c>
      <c r="L3" s="4" t="str">
        <f>IF('Mass Ion Calculations'!$B14="","",'Mass Ion Calculations'!$B14)</f>
        <v>Glu(OtBu)</v>
      </c>
      <c r="M3" s="4" t="str">
        <f>IF('Mass Ion Calculations'!$B15="","",'Mass Ion Calculations'!$B15)</f>
        <v>Asp(tBu)</v>
      </c>
      <c r="N3" s="4" t="str">
        <f>IF('Mass Ion Calculations'!$B16="","",'Mass Ion Calculations'!$B16)</f>
        <v>Ala</v>
      </c>
      <c r="O3" s="4" t="str">
        <f>IF('Mass Ion Calculations'!$B17="","",'Mass Ion Calculations'!$B17)</f>
        <v>Phe</v>
      </c>
      <c r="P3" s="4" t="str">
        <f>IF('Mass Ion Calculations'!$B18="","",'Mass Ion Calculations'!$B18)</f>
        <v>Phe-I</v>
      </c>
      <c r="Q3" s="4" t="str">
        <f>IF('Mass Ion Calculations'!$B19="","",'Mass Ion Calculations'!$B19)</f>
        <v>Val</v>
      </c>
      <c r="R3" s="4" t="str">
        <f>IF('Mass Ion Calculations'!$B20="","",'Mass Ion Calculations'!$B20)</f>
        <v>Leu</v>
      </c>
      <c r="S3" s="4" t="str">
        <f>IF('Mass Ion Calculations'!$B21="","",'Mass Ion Calculations'!$B21)</f>
        <v/>
      </c>
      <c r="T3" s="4" t="str">
        <f>IF('Mass Ion Calculations'!$B22="","",'Mass Ion Calculations'!$B22)</f>
        <v>HOAt</v>
      </c>
      <c r="U3" s="4" t="str">
        <f>IF('Mass Ion Calculations'!$B23="","",'Mass Ion Calculations'!$B5)</f>
        <v>Orn(Boc)</v>
      </c>
      <c r="V3" s="4" t="str">
        <f>IF('Mass Ion Calculations'!$B24="","",'Mass Ion Calculations'!$B24)</f>
        <v/>
      </c>
      <c r="W3" s="4" t="str">
        <f>IF('Mass Ion Calculations'!$B25="","",'Mass Ion Calculations'!$B25)</f>
        <v/>
      </c>
      <c r="X3" s="4" t="str">
        <f>IF('Mass Ion Calculations'!$B26="","",'Mass Ion Calculations'!$B26)</f>
        <v/>
      </c>
      <c r="Y3" s="4" t="str">
        <f>IF('Mass Ion Calculations'!$B27="","",'Mass Ion Calculations'!$B27)</f>
        <v/>
      </c>
    </row>
    <row r="4" spans="2:26" x14ac:dyDescent="0.25">
      <c r="B4" s="4" t="str">
        <f>IF('Mass Ion Calculations'!B5="","", 'Mass Ion Calculations'!B5)</f>
        <v>Orn(Boc)</v>
      </c>
      <c r="C4" s="3">
        <f>IF(OR($B4="",C$3=""),"",IF('Mass Ion Calculations'!$D$6="Yes",IF('Mass Ion Calculations'!$D$7="Yes",('Mass Ion Calculations'!$D$18+'AA Exact Masses'!$Q$3+'AA Exact Masses'!$Q$3-'Mass Ion Calculations'!$C$5-'Mass Ion Calculations'!$C5)/2-'Mass Ion Calculations'!$D$5,('Mass Ion Calculations'!$F$18+'AA Exact Masses'!$Q$3+'AA Exact Masses'!$Q$3-'Mass Ion Calculations'!$E$5-'Mass Ion Calculations'!$E5)/2-'Mass Ion Calculations'!$D$5),IF('Mass Ion Calculations'!$D$7="Yes", ('Mass Ion Calculations'!$D$15+'AA Exact Masses'!$Q$3+'AA Exact Masses'!$Q$3-'Mass Ion Calculations'!$C$5-'Mass Ion Calculations'!$C5)/2-'Mass Ion Calculations'!$D$5,('Mass Ion Calculations'!$F$15+'AA Exact Masses'!$Q$3+'AA Exact Masses'!$Q$3-'Mass Ion Calculations'!$E$5-'Mass Ion Calculations'!$E5)/2-'Mass Ion Calculations'!$D$5)))</f>
        <v>-403.126845</v>
      </c>
      <c r="D4" s="3">
        <f>IF(OR($B4="",D$3=""),"",IF('Mass Ion Calculations'!$D$6="Yes",IF('Mass Ion Calculations'!$D$7="Yes",('Mass Ion Calculations'!$D$18+'AA Exact Masses'!$Q$3+'AA Exact Masses'!$Q$3-'Mass Ion Calculations'!$C$6-'Mass Ion Calculations'!$C5)/2-'Mass Ion Calculations'!$D$5,('Mass Ion Calculations'!$F$18+'AA Exact Masses'!$Q$3+'AA Exact Masses'!$Q$3-'Mass Ion Calculations'!$E$6-'Mass Ion Calculations'!$E5)/2-'Mass Ion Calculations'!$D$5),IF('Mass Ion Calculations'!$D$7="Yes", ('Mass Ion Calculations'!$D$15+'AA Exact Masses'!$Q$3+'AA Exact Masses'!$Q$3-'Mass Ion Calculations'!$C$6-'Mass Ion Calculations'!$C5)/2-'Mass Ion Calculations'!$D$5,('Mass Ion Calculations'!$F$15+'AA Exact Masses'!$Q$3+'AA Exact Masses'!$Q$3-'Mass Ion Calculations'!$E$6-'Mass Ion Calculations'!$E5)/2-'Mass Ion Calculations'!$D$5)))</f>
        <v>-381.60573999999997</v>
      </c>
      <c r="E4" s="3">
        <f>IF(OR($B4="",E$3=""),"",IF('Mass Ion Calculations'!$D$6="Yes",IF('Mass Ion Calculations'!$D$7="Yes",('Mass Ion Calculations'!$D$18+'AA Exact Masses'!$Q$3+'AA Exact Masses'!$Q$3-'Mass Ion Calculations'!$C$7-'Mass Ion Calculations'!$C5)/2-'Mass Ion Calculations'!$D$5,('Mass Ion Calculations'!$F$18+'AA Exact Masses'!$Q$3+'AA Exact Masses'!$Q$3-'Mass Ion Calculations'!$E$7-'Mass Ion Calculations'!$E5)/2-'Mass Ion Calculations'!$D$5),IF('Mass Ion Calculations'!$D$7="Yes", ('Mass Ion Calculations'!$D$15+'AA Exact Masses'!$Q$3+'AA Exact Masses'!$Q$3-'Mass Ion Calculations'!$C$7-'Mass Ion Calculations'!$C5)/2-'Mass Ion Calculations'!$D$5,('Mass Ion Calculations'!$F$15+'AA Exact Masses'!$Q$3+'AA Exact Masses'!$Q$3-'Mass Ion Calculations'!$E$7-'Mass Ion Calculations'!$E5)/2-'Mass Ion Calculations'!$D$5)))</f>
        <v>-402.62921499999993</v>
      </c>
      <c r="F4" s="3">
        <f>IF(OR($B4="",F$3=""),"",IF('Mass Ion Calculations'!$D$6="Yes",IF('Mass Ion Calculations'!$D$7="Yes",('Mass Ion Calculations'!$D$18+'AA Exact Masses'!$Q$3+'AA Exact Masses'!$Q$3-'Mass Ion Calculations'!$C$8-'Mass Ion Calculations'!$C5)/2-'Mass Ion Calculations'!$D$5,('Mass Ion Calculations'!$F$18+'AA Exact Masses'!$Q$3+'AA Exact Masses'!$Q$3-'Mass Ion Calculations'!$E$8-'Mass Ion Calculations'!$E5)/2-'Mass Ion Calculations'!$D$5),IF('Mass Ion Calculations'!$D$7="Yes", ('Mass Ion Calculations'!$D$15+'AA Exact Masses'!$Q$3+'AA Exact Masses'!$Q$3-'Mass Ion Calculations'!$C$8-'Mass Ion Calculations'!$C5)/2-'Mass Ion Calculations'!$D$5,('Mass Ion Calculations'!$F$15+'AA Exact Masses'!$Q$3+'AA Exact Masses'!$Q$3-'Mass Ion Calculations'!$E$8-'Mass Ion Calculations'!$E5)/2-'Mass Ion Calculations'!$D$5)))</f>
        <v>-402.62921499999993</v>
      </c>
      <c r="G4" s="3">
        <f>IF(OR($B4="",G$3=""),"",IF('Mass Ion Calculations'!$D$6="Yes",IF('Mass Ion Calculations'!$D$7="Yes",('Mass Ion Calculations'!$D$18+'AA Exact Masses'!$Q$3+'AA Exact Masses'!$Q$3-'Mass Ion Calculations'!$C$9-'Mass Ion Calculations'!$C5)/2-'Mass Ion Calculations'!$D$5,('Mass Ion Calculations'!$F$18+'AA Exact Masses'!$Q$3+'AA Exact Masses'!$Q$3-'Mass Ion Calculations'!$E$9-'Mass Ion Calculations'!$E5)/2-'Mass Ion Calculations'!$D$5),IF('Mass Ion Calculations'!$D$7="Yes", ('Mass Ion Calculations'!$D$15+'AA Exact Masses'!$Q$3+'AA Exact Masses'!$Q$3-'Mass Ion Calculations'!$C$9-'Mass Ion Calculations'!$C5)/2-'Mass Ion Calculations'!$D$5,('Mass Ion Calculations'!$F$15+'AA Exact Masses'!$Q$3+'AA Exact Masses'!$Q$3-'Mass Ion Calculations'!$E$9-'Mass Ion Calculations'!$E5)/2-'Mass Ion Calculations'!$D$5)))</f>
        <v>-381.60573999999997</v>
      </c>
      <c r="H4" s="3">
        <f>IF(OR($B4="",H$3=""),"",IF('Mass Ion Calculations'!$D$6="Yes",IF('Mass Ion Calculations'!$D$7="Yes",('Mass Ion Calculations'!$D$18+'AA Exact Masses'!$Q$3+'AA Exact Masses'!$Q$3-'Mass Ion Calculations'!$C$10-'Mass Ion Calculations'!$C5)/2-'Mass Ion Calculations'!$D$5,('Mass Ion Calculations'!$F$18+'AA Exact Masses'!$Q$3+'AA Exact Masses'!$Q$3-'Mass Ion Calculations'!$E$10-'Mass Ion Calculations'!$E5)/2-'Mass Ion Calculations'!$D$5),IF('Mass Ion Calculations'!$D$7="Yes", ('Mass Ion Calculations'!$D$15+'AA Exact Masses'!$Q$3+'AA Exact Masses'!$Q$3-'Mass Ion Calculations'!$C$10-'Mass Ion Calculations'!$C5)/2-'Mass Ion Calculations'!$D$5,('Mass Ion Calculations'!$F$15+'AA Exact Masses'!$Q$3+'AA Exact Masses'!$Q$3-'Mass Ion Calculations'!$E$10-'Mass Ion Calculations'!$E5)/2-'Mass Ion Calculations'!$D$5)))</f>
        <v>-402.62921499999993</v>
      </c>
      <c r="I4" s="3">
        <f>IF(OR($B4="",I$3=""),"",IF('Mass Ion Calculations'!$D$6="Yes",IF('Mass Ion Calculations'!$D$7="Yes",('Mass Ion Calculations'!$D$18+'AA Exact Masses'!$Q$3+'AA Exact Masses'!$Q$3-'Mass Ion Calculations'!$C$11-'Mass Ion Calculations'!$C5)/2-'Mass Ion Calculations'!$D$5,('Mass Ion Calculations'!$F$18+'AA Exact Masses'!$Q$3+'AA Exact Masses'!$Q$3-'Mass Ion Calculations'!$E$11-'Mass Ion Calculations'!$E5)/2-'Mass Ion Calculations'!$D$5),IF('Mass Ion Calculations'!$D$7="Yes", ('Mass Ion Calculations'!$D$15+'AA Exact Masses'!$Q$3+'AA Exact Masses'!$Q$3-'Mass Ion Calculations'!$C$11-'Mass Ion Calculations'!$C5)/2-'Mass Ion Calculations'!$D$5,('Mass Ion Calculations'!$F$15+'AA Exact Masses'!$Q$3+'AA Exact Masses'!$Q$3-'Mass Ion Calculations'!$E$11-'Mass Ion Calculations'!$E5)/2-'Mass Ion Calculations'!$D$5)))</f>
        <v>-403.126845</v>
      </c>
      <c r="J4" s="3">
        <f>IF(OR($B4="",J$3=""),"",IF('Mass Ion Calculations'!$D$6="Yes",IF('Mass Ion Calculations'!$D$7="Yes",('Mass Ion Calculations'!$D$18+'AA Exact Masses'!$Q$3+'AA Exact Masses'!$Q$3-'Mass Ion Calculations'!$C$12-'Mass Ion Calculations'!$C5)/2-'Mass Ion Calculations'!$D$5,('Mass Ion Calculations'!$F$18+'AA Exact Masses'!$Q$3+'AA Exact Masses'!$Q$3-'Mass Ion Calculations'!$E$12-'Mass Ion Calculations'!$E5)/2-'Mass Ion Calculations'!$D$5),IF('Mass Ion Calculations'!$D$7="Yes", ('Mass Ion Calculations'!$D$15+'AA Exact Masses'!$Q$3+'AA Exact Masses'!$Q$3-'Mass Ion Calculations'!$C$12-'Mass Ion Calculations'!$C5)/2-'Mass Ion Calculations'!$D$5,('Mass Ion Calculations'!$F$15+'AA Exact Masses'!$Q$3+'AA Exact Masses'!$Q$3-'Mass Ion Calculations'!$E$12-'Mass Ion Calculations'!$E5)/2-'Mass Ion Calculations'!$D$5)))</f>
        <v>-395.62139000000002</v>
      </c>
      <c r="K4" s="3">
        <f>IF(OR($B4="",K$3=""),"",IF('Mass Ion Calculations'!$D$6="Yes",IF('Mass Ion Calculations'!$D$7="Yes",('Mass Ion Calculations'!$D$18+'AA Exact Masses'!$Q$3+'AA Exact Masses'!$Q$3-'Mass Ion Calculations'!$C$13-'Mass Ion Calculations'!$C5)/2-'Mass Ion Calculations'!$D$5,('Mass Ion Calculations'!$F$18+'AA Exact Masses'!$Q$3+'AA Exact Masses'!$Q$3-'Mass Ion Calculations'!$E$13-'Mass Ion Calculations'!$E5)/2-'Mass Ion Calculations'!$D$5),IF('Mass Ion Calculations'!$D$7="Yes", ('Mass Ion Calculations'!$D$15+'AA Exact Masses'!$Q$3+'AA Exact Masses'!$Q$3-'Mass Ion Calculations'!$C$13-'Mass Ion Calculations'!$C5)/2-'Mass Ion Calculations'!$D$5,('Mass Ion Calculations'!$F$15+'AA Exact Masses'!$Q$3+'AA Exact Masses'!$Q$3-'Mass Ion Calculations'!$E$13-'Mass Ion Calculations'!$E5)/2-'Mass Ion Calculations'!$D$5)))</f>
        <v>-403.126845</v>
      </c>
      <c r="L4" s="3">
        <f>IF(OR($B4="",L$3=""),"",IF('Mass Ion Calculations'!$D$6="Yes",IF('Mass Ion Calculations'!$D$7="Yes",('Mass Ion Calculations'!$D$18+'AA Exact Masses'!$Q$3+'AA Exact Masses'!$Q$3-'Mass Ion Calculations'!$C$14-'Mass Ion Calculations'!$C5)/2-'Mass Ion Calculations'!$D$5,('Mass Ion Calculations'!$F$18+'AA Exact Masses'!$Q$3+'AA Exact Masses'!$Q$3-'Mass Ion Calculations'!$E$14-'Mass Ion Calculations'!$E5)/2-'Mass Ion Calculations'!$D$5),IF('Mass Ion Calculations'!$D$7="Yes", ('Mass Ion Calculations'!$D$15+'AA Exact Masses'!$Q$3+'AA Exact Masses'!$Q$3-'Mass Ion Calculations'!$C$14-'Mass Ion Calculations'!$C5)/2-'Mass Ion Calculations'!$D$5,('Mass Ion Calculations'!$F$15+'AA Exact Masses'!$Q$3+'AA Exact Masses'!$Q$3-'Mass Ion Calculations'!$E$14-'Mass Ion Calculations'!$E5)/2-'Mass Ion Calculations'!$D$5)))</f>
        <v>-410.60847999999999</v>
      </c>
      <c r="M4" s="3">
        <f>IF(OR($B4="",M$3=""),"",IF('Mass Ion Calculations'!$D$6="Yes",IF('Mass Ion Calculations'!$D$7="Yes",('Mass Ion Calculations'!$D$18+'AA Exact Masses'!$Q$3+'AA Exact Masses'!$Q$3-'Mass Ion Calculations'!$C$15-'Mass Ion Calculations'!$C5)/2-'Mass Ion Calculations'!$D$5,('Mass Ion Calculations'!$F$18+'AA Exact Masses'!$Q$3+'AA Exact Masses'!$Q$3-'Mass Ion Calculations'!$E$15-'Mass Ion Calculations'!$E5)/2-'Mass Ion Calculations'!$D$5),IF('Mass Ion Calculations'!$D$7="Yes", ('Mass Ion Calculations'!$D$15+'AA Exact Masses'!$Q$3+'AA Exact Masses'!$Q$3-'Mass Ion Calculations'!$C$15-'Mass Ion Calculations'!$C5)/2-'Mass Ion Calculations'!$D$5,('Mass Ion Calculations'!$F$15+'AA Exact Masses'!$Q$3+'AA Exact Masses'!$Q$3-'Mass Ion Calculations'!$E$15-'Mass Ion Calculations'!$E5)/2-'Mass Ion Calculations'!$D$5)))</f>
        <v>-403.60065499999996</v>
      </c>
      <c r="N4" s="3">
        <f>IF(OR($B4="",N$3=""),"",IF('Mass Ion Calculations'!$D$6="Yes",IF('Mass Ion Calculations'!$D$7="Yes",('Mass Ion Calculations'!$D$18+'AA Exact Masses'!$Q$3+'AA Exact Masses'!$Q$3-'Mass Ion Calculations'!$C$16-'Mass Ion Calculations'!$C5)/2-'Mass Ion Calculations'!$D$5,('Mass Ion Calculations'!$F$18+'AA Exact Masses'!$Q$3+'AA Exact Masses'!$Q$3-'Mass Ion Calculations'!$E$16-'Mass Ion Calculations'!$E5)/2-'Mass Ion Calculations'!$D$5),IF('Mass Ion Calculations'!$D$7="Yes", ('Mass Ion Calculations'!$D$15+'AA Exact Masses'!$Q$3+'AA Exact Masses'!$Q$3-'Mass Ion Calculations'!$C$16-'Mass Ion Calculations'!$C5)/2-'Mass Ion Calculations'!$D$5,('Mass Ion Calculations'!$F$15+'AA Exact Masses'!$Q$3+'AA Exact Masses'!$Q$3-'Mass Ion Calculations'!$E$16-'Mass Ion Calculations'!$E5)/2-'Mass Ion Calculations'!$D$5)))</f>
        <v>-381.60573999999997</v>
      </c>
      <c r="O4" s="3">
        <f>IF(OR($B4="",O$3=""),"",IF('Mass Ion Calculations'!$D$6="Yes",IF('Mass Ion Calculations'!$D$7="Yes",('Mass Ion Calculations'!$D$18+'AA Exact Masses'!$Q$3+'AA Exact Masses'!$Q$3-'Mass Ion Calculations'!$C$17-'Mass Ion Calculations'!$C5)/2-'Mass Ion Calculations'!$D$5,('Mass Ion Calculations'!$F$18+'AA Exact Masses'!$Q$3+'AA Exact Masses'!$Q$3-'Mass Ion Calculations'!$E$17-'Mass Ion Calculations'!$E5)/2-'Mass Ion Calculations'!$D$5),IF('Mass Ion Calculations'!$D$7="Yes", ('Mass Ion Calculations'!$D$15+'AA Exact Masses'!$Q$3+'AA Exact Masses'!$Q$3-'Mass Ion Calculations'!$C$17-'Mass Ion Calculations'!$C5)/2-'Mass Ion Calculations'!$D$5,('Mass Ion Calculations'!$F$15+'AA Exact Masses'!$Q$3+'AA Exact Masses'!$Q$3-'Mass Ion Calculations'!$E$17-'Mass Ion Calculations'!$E5)/2-'Mass Ion Calculations'!$D$5)))</f>
        <v>-419.62139000000002</v>
      </c>
      <c r="P4" s="3">
        <f>IF(OR($B4="",P$3=""),"",IF('Mass Ion Calculations'!$D$6="Yes",IF('Mass Ion Calculations'!$D$7="Yes",('Mass Ion Calculations'!$D$18+'AA Exact Masses'!$Q$3+'AA Exact Masses'!$Q$3-'Mass Ion Calculations'!$C$18-'Mass Ion Calculations'!$C5)/2-'Mass Ion Calculations'!$D$5,('Mass Ion Calculations'!$F$18+'AA Exact Masses'!$Q$3+'AA Exact Masses'!$Q$3-'Mass Ion Calculations'!$E$18-'Mass Ion Calculations'!$E5)/2-'Mass Ion Calculations'!$D$5),IF('Mass Ion Calculations'!$D$7="Yes", ('Mass Ion Calculations'!$D$15+'AA Exact Masses'!$Q$3+'AA Exact Masses'!$Q$3-'Mass Ion Calculations'!$C$18-'Mass Ion Calculations'!$C5)/2-'Mass Ion Calculations'!$D$5,('Mass Ion Calculations'!$F$15+'AA Exact Masses'!$Q$3+'AA Exact Masses'!$Q$3-'Mass Ion Calculations'!$E$18-'Mass Ion Calculations'!$E5)/2-'Mass Ion Calculations'!$D$5)))</f>
        <v>-482.56971499999997</v>
      </c>
      <c r="Q4" s="3">
        <f>IF(OR($B4="",Q$3=""),"",IF('Mass Ion Calculations'!$D$6="Yes",IF('Mass Ion Calculations'!$D$7="Yes",('Mass Ion Calculations'!$D$18+'AA Exact Masses'!$Q$3+'AA Exact Masses'!$Q$3-'Mass Ion Calculations'!$C$19-'Mass Ion Calculations'!$C5)/2-'Mass Ion Calculations'!$D$5,('Mass Ion Calculations'!$F$18+'AA Exact Masses'!$Q$3+'AA Exact Masses'!$Q$3-'Mass Ion Calculations'!$E$19-'Mass Ion Calculations'!$E5)/2-'Mass Ion Calculations'!$D$5),IF('Mass Ion Calculations'!$D$7="Yes", ('Mass Ion Calculations'!$D$15+'AA Exact Masses'!$Q$3+'AA Exact Masses'!$Q$3-'Mass Ion Calculations'!$C$19-'Mass Ion Calculations'!$C5)/2-'Mass Ion Calculations'!$D$5,('Mass Ion Calculations'!$F$15+'AA Exact Masses'!$Q$3+'AA Exact Masses'!$Q$3-'Mass Ion Calculations'!$E$19-'Mass Ion Calculations'!$E5)/2-'Mass Ion Calculations'!$D$5)))</f>
        <v>-395.62139000000002</v>
      </c>
      <c r="R4" s="3">
        <f>IF(OR($B4="",R$3=""),"",IF('Mass Ion Calculations'!$D$6="Yes",IF('Mass Ion Calculations'!$D$7="Yes",('Mass Ion Calculations'!$D$18+'AA Exact Masses'!$Q$3+'AA Exact Masses'!$Q$3-'Mass Ion Calculations'!$C$20-'Mass Ion Calculations'!$C5)/2-'Mass Ion Calculations'!$D$5,('Mass Ion Calculations'!$F$18+'AA Exact Masses'!$Q$3+'AA Exact Masses'!$Q$3-'Mass Ion Calculations'!$E$20-'Mass Ion Calculations'!$E5)/2-'Mass Ion Calculations'!$D$5),IF('Mass Ion Calculations'!$D$7="Yes", ('Mass Ion Calculations'!$D$15+'AA Exact Masses'!$Q$3+'AA Exact Masses'!$Q$3-'Mass Ion Calculations'!$C$20-'Mass Ion Calculations'!$C5)/2-'Mass Ion Calculations'!$D$5,('Mass Ion Calculations'!$F$15+'AA Exact Masses'!$Q$3+'AA Exact Masses'!$Q$3-'Mass Ion Calculations'!$E$20-'Mass Ion Calculations'!$E5)/2-'Mass Ion Calculations'!$D$5)))</f>
        <v>-402.62921499999993</v>
      </c>
      <c r="S4" s="3" t="str">
        <f>IF(OR($B4="",S$3=""),"",IF('Mass Ion Calculations'!$D$6="Yes",IF('Mass Ion Calculations'!$D$7="Yes",('Mass Ion Calculations'!$D$18+'AA Exact Masses'!$Q$3+'AA Exact Masses'!$Q$3-'Mass Ion Calculations'!$C$21-'Mass Ion Calculations'!$C5)/2-'Mass Ion Calculations'!$D$5,('Mass Ion Calculations'!$F$18+'AA Exact Masses'!$Q$3+'AA Exact Masses'!$Q$3-'Mass Ion Calculations'!$E$21-'Mass Ion Calculations'!$E5)/2-'Mass Ion Calculations'!$D$5),IF('Mass Ion Calculations'!$D$7="Yes", ('Mass Ion Calculations'!$D$15+'AA Exact Masses'!$Q$3+'AA Exact Masses'!$Q$3-'Mass Ion Calculations'!$C$21-'Mass Ion Calculations'!$C5)/2-'Mass Ion Calculations'!$D$5,('Mass Ion Calculations'!$F$15+'AA Exact Masses'!$Q$3+'AA Exact Masses'!$Q$3-'Mass Ion Calculations'!$E$21-'Mass Ion Calculations'!$E5)/2-'Mass Ion Calculations'!$D$5)))</f>
        <v/>
      </c>
      <c r="T4" s="3" t="e">
        <f>IF(OR($B4="",T$3=""),"",IF('Mass Ion Calculations'!$D$6="Yes",IF('Mass Ion Calculations'!$D$7="Yes",('Mass Ion Calculations'!$D$18+'AA Exact Masses'!$Q$3+'AA Exact Masses'!$Q$3-'Mass Ion Calculations'!$C$22-'Mass Ion Calculations'!$C5)/2-'Mass Ion Calculations'!$D$5,('Mass Ion Calculations'!$F$18+'AA Exact Masses'!$Q$3+'AA Exact Masses'!$Q$3-'Mass Ion Calculations'!$E$22-'Mass Ion Calculations'!$E5)/2-'Mass Ion Calculations'!$D$5),IF('Mass Ion Calculations'!$D$7="Yes", ('Mass Ion Calculations'!$D$15+'AA Exact Masses'!$Q$3+'AA Exact Masses'!$Q$3-'Mass Ion Calculations'!$C$22-'Mass Ion Calculations'!$C5)/2-'Mass Ion Calculations'!$D$5,('Mass Ion Calculations'!$F$15+'AA Exact Masses'!$Q$3+'AA Exact Masses'!$Q$3-'Mass Ion Calculations'!$E$22-'Mass Ion Calculations'!$E5)/2-'Mass Ion Calculations'!$D$5)))</f>
        <v>#VALUE!</v>
      </c>
      <c r="U4" s="3" t="e">
        <f>IF(OR($B4="",U$3=""),"",IF('Mass Ion Calculations'!$D$6="Yes",IF('Mass Ion Calculations'!$D$7="Yes",('Mass Ion Calculations'!$D$18+'AA Exact Masses'!$Q$3+'AA Exact Masses'!$Q$3-'Mass Ion Calculations'!$C$23-'Mass Ion Calculations'!$C5)/2-'Mass Ion Calculations'!$D$5,('Mass Ion Calculations'!$F$18+'AA Exact Masses'!$Q$3+'AA Exact Masses'!$Q$3-'Mass Ion Calculations'!$E$23-'Mass Ion Calculations'!$E5)/2-'Mass Ion Calculations'!$D$5),IF('Mass Ion Calculations'!$D$7="Yes", ('Mass Ion Calculations'!$D$15+'AA Exact Masses'!$Q$3+'AA Exact Masses'!$Q$3-'Mass Ion Calculations'!$C$23-'Mass Ion Calculations'!$C5)/2-'Mass Ion Calculations'!$D$5,('Mass Ion Calculations'!$F$15+'AA Exact Masses'!$Q$3+'AA Exact Masses'!$Q$3-'Mass Ion Calculations'!$E$23-'Mass Ion Calculations'!$E5)/2-'Mass Ion Calculations'!$D$5)))</f>
        <v>#VALUE!</v>
      </c>
      <c r="V4" s="3" t="str">
        <f>IF(OR($B4="",V$3=""),"",IF('Mass Ion Calculations'!$D$6="Yes",IF('Mass Ion Calculations'!$D$7="Yes",('Mass Ion Calculations'!$D$18+'AA Exact Masses'!$Q$3+'AA Exact Masses'!$Q$3-'Mass Ion Calculations'!$C$24-'Mass Ion Calculations'!$C5)/2-'Mass Ion Calculations'!$D$5,('Mass Ion Calculations'!$F$18+'AA Exact Masses'!$Q$3+'AA Exact Masses'!$Q$3-'Mass Ion Calculations'!$E$24-'Mass Ion Calculations'!$E5)/2-'Mass Ion Calculations'!$D$5),IF('Mass Ion Calculations'!$D$7="Yes", ('Mass Ion Calculations'!$D$15+'AA Exact Masses'!$Q$3+'AA Exact Masses'!$Q$3-'Mass Ion Calculations'!$C$24-'Mass Ion Calculations'!$C5)/2-'Mass Ion Calculations'!$D$5,('Mass Ion Calculations'!$F$15+'AA Exact Masses'!$Q$3+'AA Exact Masses'!$Q$3-'Mass Ion Calculations'!$E$24-'Mass Ion Calculations'!$E5)/2-'Mass Ion Calculations'!$D$5)))</f>
        <v/>
      </c>
      <c r="W4" s="3" t="str">
        <f>IF(OR($B4="",W$3=""),"",IF('Mass Ion Calculations'!$D$6="Yes",IF('Mass Ion Calculations'!$D$7="Yes",('Mass Ion Calculations'!$D$18+'AA Exact Masses'!$Q$3+'AA Exact Masses'!$Q$3-'Mass Ion Calculations'!$C$25-'Mass Ion Calculations'!$C5)/2-'Mass Ion Calculations'!$D$5,('Mass Ion Calculations'!$F$18+'AA Exact Masses'!$Q$3+'AA Exact Masses'!$Q$3-'Mass Ion Calculations'!$E$25-'Mass Ion Calculations'!$E5)/2-'Mass Ion Calculations'!$D$5),IF('Mass Ion Calculations'!$D$7="Yes", ('Mass Ion Calculations'!$D$15+'AA Exact Masses'!$Q$3+'AA Exact Masses'!$Q$3-'Mass Ion Calculations'!$C$25-'Mass Ion Calculations'!$C5)/2-'Mass Ion Calculations'!$D$5,('Mass Ion Calculations'!$F$15+'AA Exact Masses'!$Q$3+'AA Exact Masses'!$Q$3-'Mass Ion Calculations'!$E$25-'Mass Ion Calculations'!$E5)/2-'Mass Ion Calculations'!$D$5)))</f>
        <v/>
      </c>
      <c r="X4" s="3" t="str">
        <f>IF(OR($B4="",X$3=""),"",IF('Mass Ion Calculations'!$D$6="Yes",IF('Mass Ion Calculations'!$D$7="Yes",('Mass Ion Calculations'!$D$18+'AA Exact Masses'!$Q$3+'AA Exact Masses'!$Q$3-'Mass Ion Calculations'!$C$26-'Mass Ion Calculations'!$C5)/2-'Mass Ion Calculations'!$D$5,('Mass Ion Calculations'!$F$18+'AA Exact Masses'!$Q$3+'AA Exact Masses'!$Q$3-'Mass Ion Calculations'!$E$26-'Mass Ion Calculations'!$E5)/2-'Mass Ion Calculations'!$D$5),IF('Mass Ion Calculations'!$D$7="Yes", ('Mass Ion Calculations'!$D$15+'AA Exact Masses'!$Q$3+'AA Exact Masses'!$Q$3-'Mass Ion Calculations'!$C$26-'Mass Ion Calculations'!$C5)/2-'Mass Ion Calculations'!$D$5,('Mass Ion Calculations'!$F$15+'AA Exact Masses'!$Q$3+'AA Exact Masses'!$Q$3-'Mass Ion Calculations'!$E$26-'Mass Ion Calculations'!$E5)/2-'Mass Ion Calculations'!$D$5)))</f>
        <v/>
      </c>
      <c r="Y4" s="3" t="str">
        <f>IF(OR($B4="",Y$3=""),"",IF('Mass Ion Calculations'!$D$6="Yes",IF('Mass Ion Calculations'!$D$7="Yes",('Mass Ion Calculations'!$D$18+'AA Exact Masses'!$Q$3+'AA Exact Masses'!$Q$3-'Mass Ion Calculations'!$C$27-'Mass Ion Calculations'!$C5)/2-'Mass Ion Calculations'!$D$5,('Mass Ion Calculations'!$F$18+'AA Exact Masses'!$Q$3+'AA Exact Masses'!$Q$3-'Mass Ion Calculations'!$E$27-'Mass Ion Calculations'!$E5)/2-'Mass Ion Calculations'!$D$5),IF('Mass Ion Calculations'!$D$7="Yes", ('Mass Ion Calculations'!$D$15+'AA Exact Masses'!$Q$3+'AA Exact Masses'!$Q$3-'Mass Ion Calculations'!$C$27-'Mass Ion Calculations'!$C5)/2-'Mass Ion Calculations'!$D$5,('Mass Ion Calculations'!$F$15+'AA Exact Masses'!$Q$3+'AA Exact Masses'!$Q$3-'Mass Ion Calculations'!$E$27-'Mass Ion Calculations'!$E5)/2-'Mass Ion Calculations'!$D$5)))</f>
        <v/>
      </c>
      <c r="Z4" s="3" t="str">
        <f>IF(OR($B4="",Z$3=""),"",IF('Mass Ion Calculations'!$D$6="Yes",IF('Mass Ion Calculations'!$D$7="Yes",('Mass Ion Calculations'!$D$18+'AA Exact Masses'!$Q$3+'AA Exact Masses'!$Q$3-'Mass Ion Calculations'!$C$28-'Mass Ion Calculations'!$C5)/2-'Mass Ion Calculations'!$D$5,('Mass Ion Calculations'!$F$18+'AA Exact Masses'!$Q$3+'AA Exact Masses'!$Q$3-'Mass Ion Calculations'!$E$28-'Mass Ion Calculations'!$E5)/2-'Mass Ion Calculations'!$D$5),IF('Mass Ion Calculations'!$D$7="Yes", ('Mass Ion Calculations'!$D$15+'AA Exact Masses'!$Q$3+'AA Exact Masses'!$Q$3-'Mass Ion Calculations'!$C$28-'Mass Ion Calculations'!$C5)/2-'Mass Ion Calculations'!$D$5,('Mass Ion Calculations'!$F$15+'AA Exact Masses'!$Q$3+'AA Exact Masses'!$Q$3-'Mass Ion Calculations'!$E$28-'Mass Ion Calculations'!$E5)/2-'Mass Ion Calculations'!$D$5)))</f>
        <v/>
      </c>
    </row>
    <row r="5" spans="2:26" x14ac:dyDescent="0.25">
      <c r="B5" s="4" t="str">
        <f>IF('Mass Ion Calculations'!B6="","", 'Mass Ion Calculations'!B6)</f>
        <v>Ala</v>
      </c>
      <c r="C5" s="3">
        <f>IF(OR($B5="",C$3=""),"",IF('Mass Ion Calculations'!$D$6="Yes",IF('Mass Ion Calculations'!$D$7="Yes",('Mass Ion Calculations'!$D$18+'AA Exact Masses'!$Q$3+'AA Exact Masses'!$Q$3-'Mass Ion Calculations'!$C$5-'Mass Ion Calculations'!$C6)/2-'Mass Ion Calculations'!$D$5,('Mass Ion Calculations'!$F$18+'AA Exact Masses'!$Q$3+'AA Exact Masses'!$Q$3-'Mass Ion Calculations'!$E$5-'Mass Ion Calculations'!$E6)/2-'Mass Ion Calculations'!$D$5),IF('Mass Ion Calculations'!$D$7="Yes", ('Mass Ion Calculations'!$D$15+'AA Exact Masses'!$Q$3+'AA Exact Masses'!$Q$3-'Mass Ion Calculations'!$C$5-'Mass Ion Calculations'!$C6)/2-'Mass Ion Calculations'!$D$5,('Mass Ion Calculations'!$F$15+'AA Exact Masses'!$Q$3+'AA Exact Masses'!$Q$3-'Mass Ion Calculations'!$E$5-'Mass Ion Calculations'!$E6)/2-'Mass Ion Calculations'!$D$5)))</f>
        <v>-381.60573999999997</v>
      </c>
      <c r="D5" s="3">
        <f>IF(OR($B5="",D$3=""),"",IF('Mass Ion Calculations'!$D$6="Yes",IF('Mass Ion Calculations'!$D$7="Yes",('Mass Ion Calculations'!$D$18+'AA Exact Masses'!$Q$3+'AA Exact Masses'!$Q$3-'Mass Ion Calculations'!$C$6-'Mass Ion Calculations'!$C6)/2-'Mass Ion Calculations'!$D$5,('Mass Ion Calculations'!$F$18+'AA Exact Masses'!$Q$3+'AA Exact Masses'!$Q$3-'Mass Ion Calculations'!$E$6-'Mass Ion Calculations'!$E6)/2-'Mass Ion Calculations'!$D$5),IF('Mass Ion Calculations'!$D$7="Yes", ('Mass Ion Calculations'!$D$15+'AA Exact Masses'!$Q$3+'AA Exact Masses'!$Q$3-'Mass Ion Calculations'!$C$6-'Mass Ion Calculations'!$C6)/2-'Mass Ion Calculations'!$D$5,('Mass Ion Calculations'!$F$15+'AA Exact Masses'!$Q$3+'AA Exact Masses'!$Q$3-'Mass Ion Calculations'!$E$6-'Mass Ion Calculations'!$E6)/2-'Mass Ion Calculations'!$D$5)))</f>
        <v>-360.08463499999993</v>
      </c>
      <c r="E5" s="3">
        <f>IF(OR($B5="",E$3=""),"",IF('Mass Ion Calculations'!$D$6="Yes",IF('Mass Ion Calculations'!$D$7="Yes",('Mass Ion Calculations'!$D$18+'AA Exact Masses'!$Q$3+'AA Exact Masses'!$Q$3-'Mass Ion Calculations'!$C$7-'Mass Ion Calculations'!$C6)/2-'Mass Ion Calculations'!$D$5,('Mass Ion Calculations'!$F$18+'AA Exact Masses'!$Q$3+'AA Exact Masses'!$Q$3-'Mass Ion Calculations'!$E$7-'Mass Ion Calculations'!$E6)/2-'Mass Ion Calculations'!$D$5),IF('Mass Ion Calculations'!$D$7="Yes", ('Mass Ion Calculations'!$D$15+'AA Exact Masses'!$Q$3+'AA Exact Masses'!$Q$3-'Mass Ion Calculations'!$C$7-'Mass Ion Calculations'!$C6)/2-'Mass Ion Calculations'!$D$5,('Mass Ion Calculations'!$F$15+'AA Exact Masses'!$Q$3+'AA Exact Masses'!$Q$3-'Mass Ion Calculations'!$E$7-'Mass Ion Calculations'!$E6)/2-'Mass Ion Calculations'!$D$5)))</f>
        <v>-381.1081099999999</v>
      </c>
      <c r="F5" s="3">
        <f>IF(OR($B5="",F$3=""),"",IF('Mass Ion Calculations'!$D$6="Yes",IF('Mass Ion Calculations'!$D$7="Yes",('Mass Ion Calculations'!$D$18+'AA Exact Masses'!$Q$3+'AA Exact Masses'!$Q$3-'Mass Ion Calculations'!$C$8-'Mass Ion Calculations'!$C6)/2-'Mass Ion Calculations'!$D$5,('Mass Ion Calculations'!$F$18+'AA Exact Masses'!$Q$3+'AA Exact Masses'!$Q$3-'Mass Ion Calculations'!$E$8-'Mass Ion Calculations'!$E6)/2-'Mass Ion Calculations'!$D$5),IF('Mass Ion Calculations'!$D$7="Yes", ('Mass Ion Calculations'!$D$15+'AA Exact Masses'!$Q$3+'AA Exact Masses'!$Q$3-'Mass Ion Calculations'!$C$8-'Mass Ion Calculations'!$C6)/2-'Mass Ion Calculations'!$D$5,('Mass Ion Calculations'!$F$15+'AA Exact Masses'!$Q$3+'AA Exact Masses'!$Q$3-'Mass Ion Calculations'!$E$8-'Mass Ion Calculations'!$E6)/2-'Mass Ion Calculations'!$D$5)))</f>
        <v>-381.1081099999999</v>
      </c>
      <c r="G5" s="3">
        <f>IF(OR($B5="",G$3=""),"",IF('Mass Ion Calculations'!$D$6="Yes",IF('Mass Ion Calculations'!$D$7="Yes",('Mass Ion Calculations'!$D$18+'AA Exact Masses'!$Q$3+'AA Exact Masses'!$Q$3-'Mass Ion Calculations'!$C$9-'Mass Ion Calculations'!$C6)/2-'Mass Ion Calculations'!$D$5,('Mass Ion Calculations'!$F$18+'AA Exact Masses'!$Q$3+'AA Exact Masses'!$Q$3-'Mass Ion Calculations'!$E$9-'Mass Ion Calculations'!$E6)/2-'Mass Ion Calculations'!$D$5),IF('Mass Ion Calculations'!$D$7="Yes", ('Mass Ion Calculations'!$D$15+'AA Exact Masses'!$Q$3+'AA Exact Masses'!$Q$3-'Mass Ion Calculations'!$C$9-'Mass Ion Calculations'!$C6)/2-'Mass Ion Calculations'!$D$5,('Mass Ion Calculations'!$F$15+'AA Exact Masses'!$Q$3+'AA Exact Masses'!$Q$3-'Mass Ion Calculations'!$E$9-'Mass Ion Calculations'!$E6)/2-'Mass Ion Calculations'!$D$5)))</f>
        <v>-360.08463499999993</v>
      </c>
      <c r="H5" s="3">
        <f>IF(OR($B5="",H$3=""),"",IF('Mass Ion Calculations'!$D$6="Yes",IF('Mass Ion Calculations'!$D$7="Yes",('Mass Ion Calculations'!$D$18+'AA Exact Masses'!$Q$3+'AA Exact Masses'!$Q$3-'Mass Ion Calculations'!$C$10-'Mass Ion Calculations'!$C6)/2-'Mass Ion Calculations'!$D$5,('Mass Ion Calculations'!$F$18+'AA Exact Masses'!$Q$3+'AA Exact Masses'!$Q$3-'Mass Ion Calculations'!$E$10-'Mass Ion Calculations'!$E6)/2-'Mass Ion Calculations'!$D$5),IF('Mass Ion Calculations'!$D$7="Yes", ('Mass Ion Calculations'!$D$15+'AA Exact Masses'!$Q$3+'AA Exact Masses'!$Q$3-'Mass Ion Calculations'!$C$10-'Mass Ion Calculations'!$C6)/2-'Mass Ion Calculations'!$D$5,('Mass Ion Calculations'!$F$15+'AA Exact Masses'!$Q$3+'AA Exact Masses'!$Q$3-'Mass Ion Calculations'!$E$10-'Mass Ion Calculations'!$E6)/2-'Mass Ion Calculations'!$D$5)))</f>
        <v>-381.1081099999999</v>
      </c>
      <c r="I5" s="3">
        <f>IF(OR($B5="",I$3=""),"",IF('Mass Ion Calculations'!$D$6="Yes",IF('Mass Ion Calculations'!$D$7="Yes",('Mass Ion Calculations'!$D$18+'AA Exact Masses'!$Q$3+'AA Exact Masses'!$Q$3-'Mass Ion Calculations'!$C$11-'Mass Ion Calculations'!$C6)/2-'Mass Ion Calculations'!$D$5,('Mass Ion Calculations'!$F$18+'AA Exact Masses'!$Q$3+'AA Exact Masses'!$Q$3-'Mass Ion Calculations'!$E$11-'Mass Ion Calculations'!$E6)/2-'Mass Ion Calculations'!$D$5),IF('Mass Ion Calculations'!$D$7="Yes", ('Mass Ion Calculations'!$D$15+'AA Exact Masses'!$Q$3+'AA Exact Masses'!$Q$3-'Mass Ion Calculations'!$C$11-'Mass Ion Calculations'!$C6)/2-'Mass Ion Calculations'!$D$5,('Mass Ion Calculations'!$F$15+'AA Exact Masses'!$Q$3+'AA Exact Masses'!$Q$3-'Mass Ion Calculations'!$E$11-'Mass Ion Calculations'!$E6)/2-'Mass Ion Calculations'!$D$5)))</f>
        <v>-381.60573999999997</v>
      </c>
      <c r="J5" s="3">
        <f>IF(OR($B5="",J$3=""),"",IF('Mass Ion Calculations'!$D$6="Yes",IF('Mass Ion Calculations'!$D$7="Yes",('Mass Ion Calculations'!$D$18+'AA Exact Masses'!$Q$3+'AA Exact Masses'!$Q$3-'Mass Ion Calculations'!$C$12-'Mass Ion Calculations'!$C6)/2-'Mass Ion Calculations'!$D$5,('Mass Ion Calculations'!$F$18+'AA Exact Masses'!$Q$3+'AA Exact Masses'!$Q$3-'Mass Ion Calculations'!$E$12-'Mass Ion Calculations'!$E6)/2-'Mass Ion Calculations'!$D$5),IF('Mass Ion Calculations'!$D$7="Yes", ('Mass Ion Calculations'!$D$15+'AA Exact Masses'!$Q$3+'AA Exact Masses'!$Q$3-'Mass Ion Calculations'!$C$12-'Mass Ion Calculations'!$C6)/2-'Mass Ion Calculations'!$D$5,('Mass Ion Calculations'!$F$15+'AA Exact Masses'!$Q$3+'AA Exact Masses'!$Q$3-'Mass Ion Calculations'!$E$12-'Mass Ion Calculations'!$E6)/2-'Mass Ion Calculations'!$D$5)))</f>
        <v>-374.10028499999999</v>
      </c>
      <c r="K5" s="3">
        <f>IF(OR($B5="",K$3=""),"",IF('Mass Ion Calculations'!$D$6="Yes",IF('Mass Ion Calculations'!$D$7="Yes",('Mass Ion Calculations'!$D$18+'AA Exact Masses'!$Q$3+'AA Exact Masses'!$Q$3-'Mass Ion Calculations'!$C$13-'Mass Ion Calculations'!$C6)/2-'Mass Ion Calculations'!$D$5,('Mass Ion Calculations'!$F$18+'AA Exact Masses'!$Q$3+'AA Exact Masses'!$Q$3-'Mass Ion Calculations'!$E$13-'Mass Ion Calculations'!$E6)/2-'Mass Ion Calculations'!$D$5),IF('Mass Ion Calculations'!$D$7="Yes", ('Mass Ion Calculations'!$D$15+'AA Exact Masses'!$Q$3+'AA Exact Masses'!$Q$3-'Mass Ion Calculations'!$C$13-'Mass Ion Calculations'!$C6)/2-'Mass Ion Calculations'!$D$5,('Mass Ion Calculations'!$F$15+'AA Exact Masses'!$Q$3+'AA Exact Masses'!$Q$3-'Mass Ion Calculations'!$E$13-'Mass Ion Calculations'!$E6)/2-'Mass Ion Calculations'!$D$5)))</f>
        <v>-381.60573999999997</v>
      </c>
      <c r="L5" s="3">
        <f>IF(OR($B5="",L$3=""),"",IF('Mass Ion Calculations'!$D$6="Yes",IF('Mass Ion Calculations'!$D$7="Yes",('Mass Ion Calculations'!$D$18+'AA Exact Masses'!$Q$3+'AA Exact Masses'!$Q$3-'Mass Ion Calculations'!$C$14-'Mass Ion Calculations'!$C6)/2-'Mass Ion Calculations'!$D$5,('Mass Ion Calculations'!$F$18+'AA Exact Masses'!$Q$3+'AA Exact Masses'!$Q$3-'Mass Ion Calculations'!$E$14-'Mass Ion Calculations'!$E6)/2-'Mass Ion Calculations'!$D$5),IF('Mass Ion Calculations'!$D$7="Yes", ('Mass Ion Calculations'!$D$15+'AA Exact Masses'!$Q$3+'AA Exact Masses'!$Q$3-'Mass Ion Calculations'!$C$14-'Mass Ion Calculations'!$C6)/2-'Mass Ion Calculations'!$D$5,('Mass Ion Calculations'!$F$15+'AA Exact Masses'!$Q$3+'AA Exact Masses'!$Q$3-'Mass Ion Calculations'!$E$14-'Mass Ion Calculations'!$E6)/2-'Mass Ion Calculations'!$D$5)))</f>
        <v>-389.08737499999995</v>
      </c>
      <c r="M5" s="3">
        <f>IF(OR($B5="",M$3=""),"",IF('Mass Ion Calculations'!$D$6="Yes",IF('Mass Ion Calculations'!$D$7="Yes",('Mass Ion Calculations'!$D$18+'AA Exact Masses'!$Q$3+'AA Exact Masses'!$Q$3-'Mass Ion Calculations'!$C$15-'Mass Ion Calculations'!$C6)/2-'Mass Ion Calculations'!$D$5,('Mass Ion Calculations'!$F$18+'AA Exact Masses'!$Q$3+'AA Exact Masses'!$Q$3-'Mass Ion Calculations'!$E$15-'Mass Ion Calculations'!$E6)/2-'Mass Ion Calculations'!$D$5),IF('Mass Ion Calculations'!$D$7="Yes", ('Mass Ion Calculations'!$D$15+'AA Exact Masses'!$Q$3+'AA Exact Masses'!$Q$3-'Mass Ion Calculations'!$C$15-'Mass Ion Calculations'!$C6)/2-'Mass Ion Calculations'!$D$5,('Mass Ion Calculations'!$F$15+'AA Exact Masses'!$Q$3+'AA Exact Masses'!$Q$3-'Mass Ion Calculations'!$E$15-'Mass Ion Calculations'!$E6)/2-'Mass Ion Calculations'!$D$5)))</f>
        <v>-382.07954999999993</v>
      </c>
      <c r="N5" s="3">
        <f>IF(OR($B5="",N$3=""),"",IF('Mass Ion Calculations'!$D$6="Yes",IF('Mass Ion Calculations'!$D$7="Yes",('Mass Ion Calculations'!$D$18+'AA Exact Masses'!$Q$3+'AA Exact Masses'!$Q$3-'Mass Ion Calculations'!$C$16-'Mass Ion Calculations'!$C6)/2-'Mass Ion Calculations'!$D$5,('Mass Ion Calculations'!$F$18+'AA Exact Masses'!$Q$3+'AA Exact Masses'!$Q$3-'Mass Ion Calculations'!$E$16-'Mass Ion Calculations'!$E6)/2-'Mass Ion Calculations'!$D$5),IF('Mass Ion Calculations'!$D$7="Yes", ('Mass Ion Calculations'!$D$15+'AA Exact Masses'!$Q$3+'AA Exact Masses'!$Q$3-'Mass Ion Calculations'!$C$16-'Mass Ion Calculations'!$C6)/2-'Mass Ion Calculations'!$D$5,('Mass Ion Calculations'!$F$15+'AA Exact Masses'!$Q$3+'AA Exact Masses'!$Q$3-'Mass Ion Calculations'!$E$16-'Mass Ion Calculations'!$E6)/2-'Mass Ion Calculations'!$D$5)))</f>
        <v>-360.08463499999993</v>
      </c>
      <c r="O5" s="3">
        <f>IF(OR($B5="",O$3=""),"",IF('Mass Ion Calculations'!$D$6="Yes",IF('Mass Ion Calculations'!$D$7="Yes",('Mass Ion Calculations'!$D$18+'AA Exact Masses'!$Q$3+'AA Exact Masses'!$Q$3-'Mass Ion Calculations'!$C$17-'Mass Ion Calculations'!$C6)/2-'Mass Ion Calculations'!$D$5,('Mass Ion Calculations'!$F$18+'AA Exact Masses'!$Q$3+'AA Exact Masses'!$Q$3-'Mass Ion Calculations'!$E$17-'Mass Ion Calculations'!$E6)/2-'Mass Ion Calculations'!$D$5),IF('Mass Ion Calculations'!$D$7="Yes", ('Mass Ion Calculations'!$D$15+'AA Exact Masses'!$Q$3+'AA Exact Masses'!$Q$3-'Mass Ion Calculations'!$C$17-'Mass Ion Calculations'!$C6)/2-'Mass Ion Calculations'!$D$5,('Mass Ion Calculations'!$F$15+'AA Exact Masses'!$Q$3+'AA Exact Masses'!$Q$3-'Mass Ion Calculations'!$E$17-'Mass Ion Calculations'!$E6)/2-'Mass Ion Calculations'!$D$5)))</f>
        <v>-398.10028499999999</v>
      </c>
      <c r="P5" s="3">
        <f>IF(OR($B5="",P$3=""),"",IF('Mass Ion Calculations'!$D$6="Yes",IF('Mass Ion Calculations'!$D$7="Yes",('Mass Ion Calculations'!$D$18+'AA Exact Masses'!$Q$3+'AA Exact Masses'!$Q$3-'Mass Ion Calculations'!$C$18-'Mass Ion Calculations'!$C6)/2-'Mass Ion Calculations'!$D$5,('Mass Ion Calculations'!$F$18+'AA Exact Masses'!$Q$3+'AA Exact Masses'!$Q$3-'Mass Ion Calculations'!$E$18-'Mass Ion Calculations'!$E6)/2-'Mass Ion Calculations'!$D$5),IF('Mass Ion Calculations'!$D$7="Yes", ('Mass Ion Calculations'!$D$15+'AA Exact Masses'!$Q$3+'AA Exact Masses'!$Q$3-'Mass Ion Calculations'!$C$18-'Mass Ion Calculations'!$C6)/2-'Mass Ion Calculations'!$D$5,('Mass Ion Calculations'!$F$15+'AA Exact Masses'!$Q$3+'AA Exact Masses'!$Q$3-'Mass Ion Calculations'!$E$18-'Mass Ion Calculations'!$E6)/2-'Mass Ion Calculations'!$D$5)))</f>
        <v>-461.04860999999994</v>
      </c>
      <c r="Q5" s="3">
        <f>IF(OR($B5="",Q$3=""),"",IF('Mass Ion Calculations'!$D$6="Yes",IF('Mass Ion Calculations'!$D$7="Yes",('Mass Ion Calculations'!$D$18+'AA Exact Masses'!$Q$3+'AA Exact Masses'!$Q$3-'Mass Ion Calculations'!$C$19-'Mass Ion Calculations'!$C6)/2-'Mass Ion Calculations'!$D$5,('Mass Ion Calculations'!$F$18+'AA Exact Masses'!$Q$3+'AA Exact Masses'!$Q$3-'Mass Ion Calculations'!$E$19-'Mass Ion Calculations'!$E6)/2-'Mass Ion Calculations'!$D$5),IF('Mass Ion Calculations'!$D$7="Yes", ('Mass Ion Calculations'!$D$15+'AA Exact Masses'!$Q$3+'AA Exact Masses'!$Q$3-'Mass Ion Calculations'!$C$19-'Mass Ion Calculations'!$C6)/2-'Mass Ion Calculations'!$D$5,('Mass Ion Calculations'!$F$15+'AA Exact Masses'!$Q$3+'AA Exact Masses'!$Q$3-'Mass Ion Calculations'!$E$19-'Mass Ion Calculations'!$E6)/2-'Mass Ion Calculations'!$D$5)))</f>
        <v>-374.10028499999999</v>
      </c>
      <c r="R5" s="3">
        <f>IF(OR($B5="",R$3=""),"",IF('Mass Ion Calculations'!$D$6="Yes",IF('Mass Ion Calculations'!$D$7="Yes",('Mass Ion Calculations'!$D$18+'AA Exact Masses'!$Q$3+'AA Exact Masses'!$Q$3-'Mass Ion Calculations'!$C$20-'Mass Ion Calculations'!$C6)/2-'Mass Ion Calculations'!$D$5,('Mass Ion Calculations'!$F$18+'AA Exact Masses'!$Q$3+'AA Exact Masses'!$Q$3-'Mass Ion Calculations'!$E$20-'Mass Ion Calculations'!$E6)/2-'Mass Ion Calculations'!$D$5),IF('Mass Ion Calculations'!$D$7="Yes", ('Mass Ion Calculations'!$D$15+'AA Exact Masses'!$Q$3+'AA Exact Masses'!$Q$3-'Mass Ion Calculations'!$C$20-'Mass Ion Calculations'!$C6)/2-'Mass Ion Calculations'!$D$5,('Mass Ion Calculations'!$F$15+'AA Exact Masses'!$Q$3+'AA Exact Masses'!$Q$3-'Mass Ion Calculations'!$E$20-'Mass Ion Calculations'!$E6)/2-'Mass Ion Calculations'!$D$5)))</f>
        <v>-381.1081099999999</v>
      </c>
      <c r="S5" s="3" t="str">
        <f>IF(OR($B5="",S$3=""),"",IF('Mass Ion Calculations'!$D$6="Yes",IF('Mass Ion Calculations'!$D$7="Yes",('Mass Ion Calculations'!$D$18+'AA Exact Masses'!$Q$3+'AA Exact Masses'!$Q$3-'Mass Ion Calculations'!$C$21-'Mass Ion Calculations'!$C6)/2-'Mass Ion Calculations'!$D$5,('Mass Ion Calculations'!$F$18+'AA Exact Masses'!$Q$3+'AA Exact Masses'!$Q$3-'Mass Ion Calculations'!$E$21-'Mass Ion Calculations'!$E6)/2-'Mass Ion Calculations'!$D$5),IF('Mass Ion Calculations'!$D$7="Yes", ('Mass Ion Calculations'!$D$15+'AA Exact Masses'!$Q$3+'AA Exact Masses'!$Q$3-'Mass Ion Calculations'!$C$21-'Mass Ion Calculations'!$C6)/2-'Mass Ion Calculations'!$D$5,('Mass Ion Calculations'!$F$15+'AA Exact Masses'!$Q$3+'AA Exact Masses'!$Q$3-'Mass Ion Calculations'!$E$21-'Mass Ion Calculations'!$E6)/2-'Mass Ion Calculations'!$D$5)))</f>
        <v/>
      </c>
      <c r="T5" s="3" t="e">
        <f>IF(OR($B5="",T$3=""),"",IF('Mass Ion Calculations'!$D$6="Yes",IF('Mass Ion Calculations'!$D$7="Yes",('Mass Ion Calculations'!$D$18+'AA Exact Masses'!$Q$3+'AA Exact Masses'!$Q$3-'Mass Ion Calculations'!$C$22-'Mass Ion Calculations'!$C6)/2-'Mass Ion Calculations'!$D$5,('Mass Ion Calculations'!$F$18+'AA Exact Masses'!$Q$3+'AA Exact Masses'!$Q$3-'Mass Ion Calculations'!$E$22-'Mass Ion Calculations'!$E6)/2-'Mass Ion Calculations'!$D$5),IF('Mass Ion Calculations'!$D$7="Yes", ('Mass Ion Calculations'!$D$15+'AA Exact Masses'!$Q$3+'AA Exact Masses'!$Q$3-'Mass Ion Calculations'!$C$22-'Mass Ion Calculations'!$C6)/2-'Mass Ion Calculations'!$D$5,('Mass Ion Calculations'!$F$15+'AA Exact Masses'!$Q$3+'AA Exact Masses'!$Q$3-'Mass Ion Calculations'!$E$22-'Mass Ion Calculations'!$E6)/2-'Mass Ion Calculations'!$D$5)))</f>
        <v>#VALUE!</v>
      </c>
      <c r="U5" s="3" t="e">
        <f>IF(OR($B5="",U$3=""),"",IF('Mass Ion Calculations'!$D$6="Yes",IF('Mass Ion Calculations'!$D$7="Yes",('Mass Ion Calculations'!$D$18+'AA Exact Masses'!$Q$3+'AA Exact Masses'!$Q$3-'Mass Ion Calculations'!$C$23-'Mass Ion Calculations'!$C6)/2-'Mass Ion Calculations'!$D$5,('Mass Ion Calculations'!$F$18+'AA Exact Masses'!$Q$3+'AA Exact Masses'!$Q$3-'Mass Ion Calculations'!$E$23-'Mass Ion Calculations'!$E6)/2-'Mass Ion Calculations'!$D$5),IF('Mass Ion Calculations'!$D$7="Yes", ('Mass Ion Calculations'!$D$15+'AA Exact Masses'!$Q$3+'AA Exact Masses'!$Q$3-'Mass Ion Calculations'!$C$23-'Mass Ion Calculations'!$C6)/2-'Mass Ion Calculations'!$D$5,('Mass Ion Calculations'!$F$15+'AA Exact Masses'!$Q$3+'AA Exact Masses'!$Q$3-'Mass Ion Calculations'!$E$23-'Mass Ion Calculations'!$E6)/2-'Mass Ion Calculations'!$D$5)))</f>
        <v>#VALUE!</v>
      </c>
      <c r="V5" s="3" t="str">
        <f>IF(OR($B5="",V$3=""),"",IF('Mass Ion Calculations'!$D$6="Yes",IF('Mass Ion Calculations'!$D$7="Yes",('Mass Ion Calculations'!$D$18+'AA Exact Masses'!$Q$3+'AA Exact Masses'!$Q$3-'Mass Ion Calculations'!$C$24-'Mass Ion Calculations'!$C6)/2-'Mass Ion Calculations'!$D$5,('Mass Ion Calculations'!$F$18+'AA Exact Masses'!$Q$3+'AA Exact Masses'!$Q$3-'Mass Ion Calculations'!$E$24-'Mass Ion Calculations'!$E6)/2-'Mass Ion Calculations'!$D$5),IF('Mass Ion Calculations'!$D$7="Yes", ('Mass Ion Calculations'!$D$15+'AA Exact Masses'!$Q$3+'AA Exact Masses'!$Q$3-'Mass Ion Calculations'!$C$24-'Mass Ion Calculations'!$C6)/2-'Mass Ion Calculations'!$D$5,('Mass Ion Calculations'!$F$15+'AA Exact Masses'!$Q$3+'AA Exact Masses'!$Q$3-'Mass Ion Calculations'!$E$24-'Mass Ion Calculations'!$E6)/2-'Mass Ion Calculations'!$D$5)))</f>
        <v/>
      </c>
      <c r="W5" s="3" t="str">
        <f>IF(OR($B5="",W$3=""),"",IF('Mass Ion Calculations'!$D$6="Yes",IF('Mass Ion Calculations'!$D$7="Yes",('Mass Ion Calculations'!$D$18+'AA Exact Masses'!$Q$3+'AA Exact Masses'!$Q$3-'Mass Ion Calculations'!$C$25-'Mass Ion Calculations'!$C6)/2-'Mass Ion Calculations'!$D$5,('Mass Ion Calculations'!$F$18+'AA Exact Masses'!$Q$3+'AA Exact Masses'!$Q$3-'Mass Ion Calculations'!$E$25-'Mass Ion Calculations'!$E6)/2-'Mass Ion Calculations'!$D$5),IF('Mass Ion Calculations'!$D$7="Yes", ('Mass Ion Calculations'!$D$15+'AA Exact Masses'!$Q$3+'AA Exact Masses'!$Q$3-'Mass Ion Calculations'!$C$25-'Mass Ion Calculations'!$C6)/2-'Mass Ion Calculations'!$D$5,('Mass Ion Calculations'!$F$15+'AA Exact Masses'!$Q$3+'AA Exact Masses'!$Q$3-'Mass Ion Calculations'!$E$25-'Mass Ion Calculations'!$E6)/2-'Mass Ion Calculations'!$D$5)))</f>
        <v/>
      </c>
      <c r="X5" s="3" t="str">
        <f>IF(OR($B5="",X$3=""),"",IF('Mass Ion Calculations'!$D$6="Yes",IF('Mass Ion Calculations'!$D$7="Yes",('Mass Ion Calculations'!$D$18+'AA Exact Masses'!$Q$3+'AA Exact Masses'!$Q$3-'Mass Ion Calculations'!$C$26-'Mass Ion Calculations'!$C6)/2-'Mass Ion Calculations'!$D$5,('Mass Ion Calculations'!$F$18+'AA Exact Masses'!$Q$3+'AA Exact Masses'!$Q$3-'Mass Ion Calculations'!$E$26-'Mass Ion Calculations'!$E6)/2-'Mass Ion Calculations'!$D$5),IF('Mass Ion Calculations'!$D$7="Yes", ('Mass Ion Calculations'!$D$15+'AA Exact Masses'!$Q$3+'AA Exact Masses'!$Q$3-'Mass Ion Calculations'!$C$26-'Mass Ion Calculations'!$C6)/2-'Mass Ion Calculations'!$D$5,('Mass Ion Calculations'!$F$15+'AA Exact Masses'!$Q$3+'AA Exact Masses'!$Q$3-'Mass Ion Calculations'!$E$26-'Mass Ion Calculations'!$E6)/2-'Mass Ion Calculations'!$D$5)))</f>
        <v/>
      </c>
      <c r="Y5" s="3" t="str">
        <f>IF(OR($B5="",Y$3=""),"",IF('Mass Ion Calculations'!$D$6="Yes",IF('Mass Ion Calculations'!$D$7="Yes",('Mass Ion Calculations'!$D$18+'AA Exact Masses'!$Q$3+'AA Exact Masses'!$Q$3-'Mass Ion Calculations'!$C$27-'Mass Ion Calculations'!$C6)/2-'Mass Ion Calculations'!$D$5,('Mass Ion Calculations'!$F$18+'AA Exact Masses'!$Q$3+'AA Exact Masses'!$Q$3-'Mass Ion Calculations'!$E$27-'Mass Ion Calculations'!$E6)/2-'Mass Ion Calculations'!$D$5),IF('Mass Ion Calculations'!$D$7="Yes", ('Mass Ion Calculations'!$D$15+'AA Exact Masses'!$Q$3+'AA Exact Masses'!$Q$3-'Mass Ion Calculations'!$C$27-'Mass Ion Calculations'!$C6)/2-'Mass Ion Calculations'!$D$5,('Mass Ion Calculations'!$F$15+'AA Exact Masses'!$Q$3+'AA Exact Masses'!$Q$3-'Mass Ion Calculations'!$E$27-'Mass Ion Calculations'!$E6)/2-'Mass Ion Calculations'!$D$5)))</f>
        <v/>
      </c>
      <c r="Z5" s="3" t="str">
        <f>IF(OR($B5="",Z$3=""),"",IF('Mass Ion Calculations'!$D$6="Yes",IF('Mass Ion Calculations'!$D$7="Yes",('Mass Ion Calculations'!$D$18+'AA Exact Masses'!$Q$3+'AA Exact Masses'!$Q$3-'Mass Ion Calculations'!$C$28-'Mass Ion Calculations'!$C6)/2-'Mass Ion Calculations'!$D$5,('Mass Ion Calculations'!$F$18+'AA Exact Masses'!$Q$3+'AA Exact Masses'!$Q$3-'Mass Ion Calculations'!$E$28-'Mass Ion Calculations'!$E6)/2-'Mass Ion Calculations'!$D$5),IF('Mass Ion Calculations'!$D$7="Yes", ('Mass Ion Calculations'!$D$15+'AA Exact Masses'!$Q$3+'AA Exact Masses'!$Q$3-'Mass Ion Calculations'!$C$28-'Mass Ion Calculations'!$C6)/2-'Mass Ion Calculations'!$D$5,('Mass Ion Calculations'!$F$15+'AA Exact Masses'!$Q$3+'AA Exact Masses'!$Q$3-'Mass Ion Calculations'!$E$28-'Mass Ion Calculations'!$E6)/2-'Mass Ion Calculations'!$D$5)))</f>
        <v/>
      </c>
    </row>
    <row r="6" spans="2:26" x14ac:dyDescent="0.25">
      <c r="B6" s="4" t="str">
        <f>IF('Mass Ion Calculations'!B7="","", 'Mass Ion Calculations'!B7)</f>
        <v>Ile</v>
      </c>
      <c r="C6" s="3">
        <f>IF(OR($B6="",C$3=""),"",IF('Mass Ion Calculations'!$D$6="Yes",IF('Mass Ion Calculations'!$D$7="Yes",('Mass Ion Calculations'!$D$18+'AA Exact Masses'!$Q$3+'AA Exact Masses'!$Q$3-'Mass Ion Calculations'!$C$5-'Mass Ion Calculations'!$C7)/2-'Mass Ion Calculations'!$D$5,('Mass Ion Calculations'!$F$18+'AA Exact Masses'!$Q$3+'AA Exact Masses'!$Q$3-'Mass Ion Calculations'!$E$5-'Mass Ion Calculations'!$E7)/2-'Mass Ion Calculations'!$D$5),IF('Mass Ion Calculations'!$D$7="Yes", ('Mass Ion Calculations'!$D$15+'AA Exact Masses'!$Q$3+'AA Exact Masses'!$Q$3-'Mass Ion Calculations'!$C$5-'Mass Ion Calculations'!$C7)/2-'Mass Ion Calculations'!$D$5,('Mass Ion Calculations'!$F$15+'AA Exact Masses'!$Q$3+'AA Exact Masses'!$Q$3-'Mass Ion Calculations'!$E$5-'Mass Ion Calculations'!$E7)/2-'Mass Ion Calculations'!$D$5)))</f>
        <v>-402.62921499999993</v>
      </c>
      <c r="D6" s="3">
        <f>IF(OR($B6="",D$3=""),"",IF('Mass Ion Calculations'!$D$6="Yes",IF('Mass Ion Calculations'!$D$7="Yes",('Mass Ion Calculations'!$D$18+'AA Exact Masses'!$Q$3+'AA Exact Masses'!$Q$3-'Mass Ion Calculations'!$C$6-'Mass Ion Calculations'!$C7)/2-'Mass Ion Calculations'!$D$5,('Mass Ion Calculations'!$F$18+'AA Exact Masses'!$Q$3+'AA Exact Masses'!$Q$3-'Mass Ion Calculations'!$E$6-'Mass Ion Calculations'!$E7)/2-'Mass Ion Calculations'!$D$5),IF('Mass Ion Calculations'!$D$7="Yes", ('Mass Ion Calculations'!$D$15+'AA Exact Masses'!$Q$3+'AA Exact Masses'!$Q$3-'Mass Ion Calculations'!$C$6-'Mass Ion Calculations'!$C7)/2-'Mass Ion Calculations'!$D$5,('Mass Ion Calculations'!$F$15+'AA Exact Masses'!$Q$3+'AA Exact Masses'!$Q$3-'Mass Ion Calculations'!$E$6-'Mass Ion Calculations'!$E7)/2-'Mass Ion Calculations'!$D$5)))</f>
        <v>-381.1081099999999</v>
      </c>
      <c r="E6" s="3">
        <f>IF(OR($B6="",E$3=""),"",IF('Mass Ion Calculations'!$D$6="Yes",IF('Mass Ion Calculations'!$D$7="Yes",('Mass Ion Calculations'!$D$18+'AA Exact Masses'!$Q$3+'AA Exact Masses'!$Q$3-'Mass Ion Calculations'!$C$7-'Mass Ion Calculations'!$C7)/2-'Mass Ion Calculations'!$D$5,('Mass Ion Calculations'!$F$18+'AA Exact Masses'!$Q$3+'AA Exact Masses'!$Q$3-'Mass Ion Calculations'!$E$7-'Mass Ion Calculations'!$E7)/2-'Mass Ion Calculations'!$D$5),IF('Mass Ion Calculations'!$D$7="Yes", ('Mass Ion Calculations'!$D$15+'AA Exact Masses'!$Q$3+'AA Exact Masses'!$Q$3-'Mass Ion Calculations'!$C$7-'Mass Ion Calculations'!$C7)/2-'Mass Ion Calculations'!$D$5,('Mass Ion Calculations'!$F$15+'AA Exact Masses'!$Q$3+'AA Exact Masses'!$Q$3-'Mass Ion Calculations'!$E$7-'Mass Ion Calculations'!$E7)/2-'Mass Ion Calculations'!$D$5)))</f>
        <v>-402.13158499999986</v>
      </c>
      <c r="F6" s="3">
        <f>IF(OR($B6="",F$3=""),"",IF('Mass Ion Calculations'!$D$6="Yes",IF('Mass Ion Calculations'!$D$7="Yes",('Mass Ion Calculations'!$D$18+'AA Exact Masses'!$Q$3+'AA Exact Masses'!$Q$3-'Mass Ion Calculations'!$C$8-'Mass Ion Calculations'!$C7)/2-'Mass Ion Calculations'!$D$5,('Mass Ion Calculations'!$F$18+'AA Exact Masses'!$Q$3+'AA Exact Masses'!$Q$3-'Mass Ion Calculations'!$E$8-'Mass Ion Calculations'!$E7)/2-'Mass Ion Calculations'!$D$5),IF('Mass Ion Calculations'!$D$7="Yes", ('Mass Ion Calculations'!$D$15+'AA Exact Masses'!$Q$3+'AA Exact Masses'!$Q$3-'Mass Ion Calculations'!$C$8-'Mass Ion Calculations'!$C7)/2-'Mass Ion Calculations'!$D$5,('Mass Ion Calculations'!$F$15+'AA Exact Masses'!$Q$3+'AA Exact Masses'!$Q$3-'Mass Ion Calculations'!$E$8-'Mass Ion Calculations'!$E7)/2-'Mass Ion Calculations'!$D$5)))</f>
        <v>-402.13158499999986</v>
      </c>
      <c r="G6" s="3">
        <f>IF(OR($B6="",G$3=""),"",IF('Mass Ion Calculations'!$D$6="Yes",IF('Mass Ion Calculations'!$D$7="Yes",('Mass Ion Calculations'!$D$18+'AA Exact Masses'!$Q$3+'AA Exact Masses'!$Q$3-'Mass Ion Calculations'!$C$9-'Mass Ion Calculations'!$C7)/2-'Mass Ion Calculations'!$D$5,('Mass Ion Calculations'!$F$18+'AA Exact Masses'!$Q$3+'AA Exact Masses'!$Q$3-'Mass Ion Calculations'!$E$9-'Mass Ion Calculations'!$E7)/2-'Mass Ion Calculations'!$D$5),IF('Mass Ion Calculations'!$D$7="Yes", ('Mass Ion Calculations'!$D$15+'AA Exact Masses'!$Q$3+'AA Exact Masses'!$Q$3-'Mass Ion Calculations'!$C$9-'Mass Ion Calculations'!$C7)/2-'Mass Ion Calculations'!$D$5,('Mass Ion Calculations'!$F$15+'AA Exact Masses'!$Q$3+'AA Exact Masses'!$Q$3-'Mass Ion Calculations'!$E$9-'Mass Ion Calculations'!$E7)/2-'Mass Ion Calculations'!$D$5)))</f>
        <v>-381.1081099999999</v>
      </c>
      <c r="H6" s="3">
        <f>IF(OR($B6="",H$3=""),"",IF('Mass Ion Calculations'!$D$6="Yes",IF('Mass Ion Calculations'!$D$7="Yes",('Mass Ion Calculations'!$D$18+'AA Exact Masses'!$Q$3+'AA Exact Masses'!$Q$3-'Mass Ion Calculations'!$C$10-'Mass Ion Calculations'!$C7)/2-'Mass Ion Calculations'!$D$5,('Mass Ion Calculations'!$F$18+'AA Exact Masses'!$Q$3+'AA Exact Masses'!$Q$3-'Mass Ion Calculations'!$E$10-'Mass Ion Calculations'!$E7)/2-'Mass Ion Calculations'!$D$5),IF('Mass Ion Calculations'!$D$7="Yes", ('Mass Ion Calculations'!$D$15+'AA Exact Masses'!$Q$3+'AA Exact Masses'!$Q$3-'Mass Ion Calculations'!$C$10-'Mass Ion Calculations'!$C7)/2-'Mass Ion Calculations'!$D$5,('Mass Ion Calculations'!$F$15+'AA Exact Masses'!$Q$3+'AA Exact Masses'!$Q$3-'Mass Ion Calculations'!$E$10-'Mass Ion Calculations'!$E7)/2-'Mass Ion Calculations'!$D$5)))</f>
        <v>-402.13158499999986</v>
      </c>
      <c r="I6" s="3">
        <f>IF(OR($B6="",I$3=""),"",IF('Mass Ion Calculations'!$D$6="Yes",IF('Mass Ion Calculations'!$D$7="Yes",('Mass Ion Calculations'!$D$18+'AA Exact Masses'!$Q$3+'AA Exact Masses'!$Q$3-'Mass Ion Calculations'!$C$11-'Mass Ion Calculations'!$C7)/2-'Mass Ion Calculations'!$D$5,('Mass Ion Calculations'!$F$18+'AA Exact Masses'!$Q$3+'AA Exact Masses'!$Q$3-'Mass Ion Calculations'!$E$11-'Mass Ion Calculations'!$E7)/2-'Mass Ion Calculations'!$D$5),IF('Mass Ion Calculations'!$D$7="Yes", ('Mass Ion Calculations'!$D$15+'AA Exact Masses'!$Q$3+'AA Exact Masses'!$Q$3-'Mass Ion Calculations'!$C$11-'Mass Ion Calculations'!$C7)/2-'Mass Ion Calculations'!$D$5,('Mass Ion Calculations'!$F$15+'AA Exact Masses'!$Q$3+'AA Exact Masses'!$Q$3-'Mass Ion Calculations'!$E$11-'Mass Ion Calculations'!$E7)/2-'Mass Ion Calculations'!$D$5)))</f>
        <v>-402.62921499999993</v>
      </c>
      <c r="J6" s="3">
        <f>IF(OR($B6="",J$3=""),"",IF('Mass Ion Calculations'!$D$6="Yes",IF('Mass Ion Calculations'!$D$7="Yes",('Mass Ion Calculations'!$D$18+'AA Exact Masses'!$Q$3+'AA Exact Masses'!$Q$3-'Mass Ion Calculations'!$C$12-'Mass Ion Calculations'!$C7)/2-'Mass Ion Calculations'!$D$5,('Mass Ion Calculations'!$F$18+'AA Exact Masses'!$Q$3+'AA Exact Masses'!$Q$3-'Mass Ion Calculations'!$E$12-'Mass Ion Calculations'!$E7)/2-'Mass Ion Calculations'!$D$5),IF('Mass Ion Calculations'!$D$7="Yes", ('Mass Ion Calculations'!$D$15+'AA Exact Masses'!$Q$3+'AA Exact Masses'!$Q$3-'Mass Ion Calculations'!$C$12-'Mass Ion Calculations'!$C7)/2-'Mass Ion Calculations'!$D$5,('Mass Ion Calculations'!$F$15+'AA Exact Masses'!$Q$3+'AA Exact Masses'!$Q$3-'Mass Ion Calculations'!$E$12-'Mass Ion Calculations'!$E7)/2-'Mass Ion Calculations'!$D$5)))</f>
        <v>-395.12375999999995</v>
      </c>
      <c r="K6" s="3">
        <f>IF(OR($B6="",K$3=""),"",IF('Mass Ion Calculations'!$D$6="Yes",IF('Mass Ion Calculations'!$D$7="Yes",('Mass Ion Calculations'!$D$18+'AA Exact Masses'!$Q$3+'AA Exact Masses'!$Q$3-'Mass Ion Calculations'!$C$13-'Mass Ion Calculations'!$C7)/2-'Mass Ion Calculations'!$D$5,('Mass Ion Calculations'!$F$18+'AA Exact Masses'!$Q$3+'AA Exact Masses'!$Q$3-'Mass Ion Calculations'!$E$13-'Mass Ion Calculations'!$E7)/2-'Mass Ion Calculations'!$D$5),IF('Mass Ion Calculations'!$D$7="Yes", ('Mass Ion Calculations'!$D$15+'AA Exact Masses'!$Q$3+'AA Exact Masses'!$Q$3-'Mass Ion Calculations'!$C$13-'Mass Ion Calculations'!$C7)/2-'Mass Ion Calculations'!$D$5,('Mass Ion Calculations'!$F$15+'AA Exact Masses'!$Q$3+'AA Exact Masses'!$Q$3-'Mass Ion Calculations'!$E$13-'Mass Ion Calculations'!$E7)/2-'Mass Ion Calculations'!$D$5)))</f>
        <v>-402.62921499999993</v>
      </c>
      <c r="L6" s="3">
        <f>IF(OR($B6="",L$3=""),"",IF('Mass Ion Calculations'!$D$6="Yes",IF('Mass Ion Calculations'!$D$7="Yes",('Mass Ion Calculations'!$D$18+'AA Exact Masses'!$Q$3+'AA Exact Masses'!$Q$3-'Mass Ion Calculations'!$C$14-'Mass Ion Calculations'!$C7)/2-'Mass Ion Calculations'!$D$5,('Mass Ion Calculations'!$F$18+'AA Exact Masses'!$Q$3+'AA Exact Masses'!$Q$3-'Mass Ion Calculations'!$E$14-'Mass Ion Calculations'!$E7)/2-'Mass Ion Calculations'!$D$5),IF('Mass Ion Calculations'!$D$7="Yes", ('Mass Ion Calculations'!$D$15+'AA Exact Masses'!$Q$3+'AA Exact Masses'!$Q$3-'Mass Ion Calculations'!$C$14-'Mass Ion Calculations'!$C7)/2-'Mass Ion Calculations'!$D$5,('Mass Ion Calculations'!$F$15+'AA Exact Masses'!$Q$3+'AA Exact Masses'!$Q$3-'Mass Ion Calculations'!$E$14-'Mass Ion Calculations'!$E7)/2-'Mass Ion Calculations'!$D$5)))</f>
        <v>-410.11084999999991</v>
      </c>
      <c r="M6" s="3">
        <f>IF(OR($B6="",M$3=""),"",IF('Mass Ion Calculations'!$D$6="Yes",IF('Mass Ion Calculations'!$D$7="Yes",('Mass Ion Calculations'!$D$18+'AA Exact Masses'!$Q$3+'AA Exact Masses'!$Q$3-'Mass Ion Calculations'!$C$15-'Mass Ion Calculations'!$C7)/2-'Mass Ion Calculations'!$D$5,('Mass Ion Calculations'!$F$18+'AA Exact Masses'!$Q$3+'AA Exact Masses'!$Q$3-'Mass Ion Calculations'!$E$15-'Mass Ion Calculations'!$E7)/2-'Mass Ion Calculations'!$D$5),IF('Mass Ion Calculations'!$D$7="Yes", ('Mass Ion Calculations'!$D$15+'AA Exact Masses'!$Q$3+'AA Exact Masses'!$Q$3-'Mass Ion Calculations'!$C$15-'Mass Ion Calculations'!$C7)/2-'Mass Ion Calculations'!$D$5,('Mass Ion Calculations'!$F$15+'AA Exact Masses'!$Q$3+'AA Exact Masses'!$Q$3-'Mass Ion Calculations'!$E$15-'Mass Ion Calculations'!$E7)/2-'Mass Ion Calculations'!$D$5)))</f>
        <v>-403.10302499999989</v>
      </c>
      <c r="N6" s="3">
        <f>IF(OR($B6="",N$3=""),"",IF('Mass Ion Calculations'!$D$6="Yes",IF('Mass Ion Calculations'!$D$7="Yes",('Mass Ion Calculations'!$D$18+'AA Exact Masses'!$Q$3+'AA Exact Masses'!$Q$3-'Mass Ion Calculations'!$C$16-'Mass Ion Calculations'!$C7)/2-'Mass Ion Calculations'!$D$5,('Mass Ion Calculations'!$F$18+'AA Exact Masses'!$Q$3+'AA Exact Masses'!$Q$3-'Mass Ion Calculations'!$E$16-'Mass Ion Calculations'!$E7)/2-'Mass Ion Calculations'!$D$5),IF('Mass Ion Calculations'!$D$7="Yes", ('Mass Ion Calculations'!$D$15+'AA Exact Masses'!$Q$3+'AA Exact Masses'!$Q$3-'Mass Ion Calculations'!$C$16-'Mass Ion Calculations'!$C7)/2-'Mass Ion Calculations'!$D$5,('Mass Ion Calculations'!$F$15+'AA Exact Masses'!$Q$3+'AA Exact Masses'!$Q$3-'Mass Ion Calculations'!$E$16-'Mass Ion Calculations'!$E7)/2-'Mass Ion Calculations'!$D$5)))</f>
        <v>-381.1081099999999</v>
      </c>
      <c r="O6" s="3">
        <f>IF(OR($B6="",O$3=""),"",IF('Mass Ion Calculations'!$D$6="Yes",IF('Mass Ion Calculations'!$D$7="Yes",('Mass Ion Calculations'!$D$18+'AA Exact Masses'!$Q$3+'AA Exact Masses'!$Q$3-'Mass Ion Calculations'!$C$17-'Mass Ion Calculations'!$C7)/2-'Mass Ion Calculations'!$D$5,('Mass Ion Calculations'!$F$18+'AA Exact Masses'!$Q$3+'AA Exact Masses'!$Q$3-'Mass Ion Calculations'!$E$17-'Mass Ion Calculations'!$E7)/2-'Mass Ion Calculations'!$D$5),IF('Mass Ion Calculations'!$D$7="Yes", ('Mass Ion Calculations'!$D$15+'AA Exact Masses'!$Q$3+'AA Exact Masses'!$Q$3-'Mass Ion Calculations'!$C$17-'Mass Ion Calculations'!$C7)/2-'Mass Ion Calculations'!$D$5,('Mass Ion Calculations'!$F$15+'AA Exact Masses'!$Q$3+'AA Exact Masses'!$Q$3-'Mass Ion Calculations'!$E$17-'Mass Ion Calculations'!$E7)/2-'Mass Ion Calculations'!$D$5)))</f>
        <v>-419.12375999999995</v>
      </c>
      <c r="P6" s="3">
        <f>IF(OR($B6="",P$3=""),"",IF('Mass Ion Calculations'!$D$6="Yes",IF('Mass Ion Calculations'!$D$7="Yes",('Mass Ion Calculations'!$D$18+'AA Exact Masses'!$Q$3+'AA Exact Masses'!$Q$3-'Mass Ion Calculations'!$C$18-'Mass Ion Calculations'!$C7)/2-'Mass Ion Calculations'!$D$5,('Mass Ion Calculations'!$F$18+'AA Exact Masses'!$Q$3+'AA Exact Masses'!$Q$3-'Mass Ion Calculations'!$E$18-'Mass Ion Calculations'!$E7)/2-'Mass Ion Calculations'!$D$5),IF('Mass Ion Calculations'!$D$7="Yes", ('Mass Ion Calculations'!$D$15+'AA Exact Masses'!$Q$3+'AA Exact Masses'!$Q$3-'Mass Ion Calculations'!$C$18-'Mass Ion Calculations'!$C7)/2-'Mass Ion Calculations'!$D$5,('Mass Ion Calculations'!$F$15+'AA Exact Masses'!$Q$3+'AA Exact Masses'!$Q$3-'Mass Ion Calculations'!$E$18-'Mass Ion Calculations'!$E7)/2-'Mass Ion Calculations'!$D$5)))</f>
        <v>-482.0720849999999</v>
      </c>
      <c r="Q6" s="3">
        <f>IF(OR($B6="",Q$3=""),"",IF('Mass Ion Calculations'!$D$6="Yes",IF('Mass Ion Calculations'!$D$7="Yes",('Mass Ion Calculations'!$D$18+'AA Exact Masses'!$Q$3+'AA Exact Masses'!$Q$3-'Mass Ion Calculations'!$C$19-'Mass Ion Calculations'!$C7)/2-'Mass Ion Calculations'!$D$5,('Mass Ion Calculations'!$F$18+'AA Exact Masses'!$Q$3+'AA Exact Masses'!$Q$3-'Mass Ion Calculations'!$E$19-'Mass Ion Calculations'!$E7)/2-'Mass Ion Calculations'!$D$5),IF('Mass Ion Calculations'!$D$7="Yes", ('Mass Ion Calculations'!$D$15+'AA Exact Masses'!$Q$3+'AA Exact Masses'!$Q$3-'Mass Ion Calculations'!$C$19-'Mass Ion Calculations'!$C7)/2-'Mass Ion Calculations'!$D$5,('Mass Ion Calculations'!$F$15+'AA Exact Masses'!$Q$3+'AA Exact Masses'!$Q$3-'Mass Ion Calculations'!$E$19-'Mass Ion Calculations'!$E7)/2-'Mass Ion Calculations'!$D$5)))</f>
        <v>-395.12375999999995</v>
      </c>
      <c r="R6" s="3">
        <f>IF(OR($B6="",R$3=""),"",IF('Mass Ion Calculations'!$D$6="Yes",IF('Mass Ion Calculations'!$D$7="Yes",('Mass Ion Calculations'!$D$18+'AA Exact Masses'!$Q$3+'AA Exact Masses'!$Q$3-'Mass Ion Calculations'!$C$20-'Mass Ion Calculations'!$C7)/2-'Mass Ion Calculations'!$D$5,('Mass Ion Calculations'!$F$18+'AA Exact Masses'!$Q$3+'AA Exact Masses'!$Q$3-'Mass Ion Calculations'!$E$20-'Mass Ion Calculations'!$E7)/2-'Mass Ion Calculations'!$D$5),IF('Mass Ion Calculations'!$D$7="Yes", ('Mass Ion Calculations'!$D$15+'AA Exact Masses'!$Q$3+'AA Exact Masses'!$Q$3-'Mass Ion Calculations'!$C$20-'Mass Ion Calculations'!$C7)/2-'Mass Ion Calculations'!$D$5,('Mass Ion Calculations'!$F$15+'AA Exact Masses'!$Q$3+'AA Exact Masses'!$Q$3-'Mass Ion Calculations'!$E$20-'Mass Ion Calculations'!$E7)/2-'Mass Ion Calculations'!$D$5)))</f>
        <v>-402.13158499999986</v>
      </c>
      <c r="S6" s="3" t="str">
        <f>IF(OR($B6="",S$3=""),"",IF('Mass Ion Calculations'!$D$6="Yes",IF('Mass Ion Calculations'!$D$7="Yes",('Mass Ion Calculations'!$D$18+'AA Exact Masses'!$Q$3+'AA Exact Masses'!$Q$3-'Mass Ion Calculations'!$C$21-'Mass Ion Calculations'!$C7)/2-'Mass Ion Calculations'!$D$5,('Mass Ion Calculations'!$F$18+'AA Exact Masses'!$Q$3+'AA Exact Masses'!$Q$3-'Mass Ion Calculations'!$E$21-'Mass Ion Calculations'!$E7)/2-'Mass Ion Calculations'!$D$5),IF('Mass Ion Calculations'!$D$7="Yes", ('Mass Ion Calculations'!$D$15+'AA Exact Masses'!$Q$3+'AA Exact Masses'!$Q$3-'Mass Ion Calculations'!$C$21-'Mass Ion Calculations'!$C7)/2-'Mass Ion Calculations'!$D$5,('Mass Ion Calculations'!$F$15+'AA Exact Masses'!$Q$3+'AA Exact Masses'!$Q$3-'Mass Ion Calculations'!$E$21-'Mass Ion Calculations'!$E7)/2-'Mass Ion Calculations'!$D$5)))</f>
        <v/>
      </c>
      <c r="T6" s="3" t="e">
        <f>IF(OR($B6="",T$3=""),"",IF('Mass Ion Calculations'!$D$6="Yes",IF('Mass Ion Calculations'!$D$7="Yes",('Mass Ion Calculations'!$D$18+'AA Exact Masses'!$Q$3+'AA Exact Masses'!$Q$3-'Mass Ion Calculations'!$C$22-'Mass Ion Calculations'!$C7)/2-'Mass Ion Calculations'!$D$5,('Mass Ion Calculations'!$F$18+'AA Exact Masses'!$Q$3+'AA Exact Masses'!$Q$3-'Mass Ion Calculations'!$E$22-'Mass Ion Calculations'!$E7)/2-'Mass Ion Calculations'!$D$5),IF('Mass Ion Calculations'!$D$7="Yes", ('Mass Ion Calculations'!$D$15+'AA Exact Masses'!$Q$3+'AA Exact Masses'!$Q$3-'Mass Ion Calculations'!$C$22-'Mass Ion Calculations'!$C7)/2-'Mass Ion Calculations'!$D$5,('Mass Ion Calculations'!$F$15+'AA Exact Masses'!$Q$3+'AA Exact Masses'!$Q$3-'Mass Ion Calculations'!$E$22-'Mass Ion Calculations'!$E7)/2-'Mass Ion Calculations'!$D$5)))</f>
        <v>#VALUE!</v>
      </c>
      <c r="U6" s="3" t="e">
        <f>IF(OR($B6="",U$3=""),"",IF('Mass Ion Calculations'!$D$6="Yes",IF('Mass Ion Calculations'!$D$7="Yes",('Mass Ion Calculations'!$D$18+'AA Exact Masses'!$Q$3+'AA Exact Masses'!$Q$3-'Mass Ion Calculations'!$C$23-'Mass Ion Calculations'!$C7)/2-'Mass Ion Calculations'!$D$5,('Mass Ion Calculations'!$F$18+'AA Exact Masses'!$Q$3+'AA Exact Masses'!$Q$3-'Mass Ion Calculations'!$E$23-'Mass Ion Calculations'!$E7)/2-'Mass Ion Calculations'!$D$5),IF('Mass Ion Calculations'!$D$7="Yes", ('Mass Ion Calculations'!$D$15+'AA Exact Masses'!$Q$3+'AA Exact Masses'!$Q$3-'Mass Ion Calculations'!$C$23-'Mass Ion Calculations'!$C7)/2-'Mass Ion Calculations'!$D$5,('Mass Ion Calculations'!$F$15+'AA Exact Masses'!$Q$3+'AA Exact Masses'!$Q$3-'Mass Ion Calculations'!$E$23-'Mass Ion Calculations'!$E7)/2-'Mass Ion Calculations'!$D$5)))</f>
        <v>#VALUE!</v>
      </c>
      <c r="V6" s="3" t="str">
        <f>IF(OR($B6="",V$3=""),"",IF('Mass Ion Calculations'!$D$6="Yes",IF('Mass Ion Calculations'!$D$7="Yes",('Mass Ion Calculations'!$D$18+'AA Exact Masses'!$Q$3+'AA Exact Masses'!$Q$3-'Mass Ion Calculations'!$C$24-'Mass Ion Calculations'!$C7)/2-'Mass Ion Calculations'!$D$5,('Mass Ion Calculations'!$F$18+'AA Exact Masses'!$Q$3+'AA Exact Masses'!$Q$3-'Mass Ion Calculations'!$E$24-'Mass Ion Calculations'!$E7)/2-'Mass Ion Calculations'!$D$5),IF('Mass Ion Calculations'!$D$7="Yes", ('Mass Ion Calculations'!$D$15+'AA Exact Masses'!$Q$3+'AA Exact Masses'!$Q$3-'Mass Ion Calculations'!$C$24-'Mass Ion Calculations'!$C7)/2-'Mass Ion Calculations'!$D$5,('Mass Ion Calculations'!$F$15+'AA Exact Masses'!$Q$3+'AA Exact Masses'!$Q$3-'Mass Ion Calculations'!$E$24-'Mass Ion Calculations'!$E7)/2-'Mass Ion Calculations'!$D$5)))</f>
        <v/>
      </c>
      <c r="W6" s="3" t="str">
        <f>IF(OR($B6="",W$3=""),"",IF('Mass Ion Calculations'!$D$6="Yes",IF('Mass Ion Calculations'!$D$7="Yes",('Mass Ion Calculations'!$D$18+'AA Exact Masses'!$Q$3+'AA Exact Masses'!$Q$3-'Mass Ion Calculations'!$C$25-'Mass Ion Calculations'!$C7)/2-'Mass Ion Calculations'!$D$5,('Mass Ion Calculations'!$F$18+'AA Exact Masses'!$Q$3+'AA Exact Masses'!$Q$3-'Mass Ion Calculations'!$E$25-'Mass Ion Calculations'!$E7)/2-'Mass Ion Calculations'!$D$5),IF('Mass Ion Calculations'!$D$7="Yes", ('Mass Ion Calculations'!$D$15+'AA Exact Masses'!$Q$3+'AA Exact Masses'!$Q$3-'Mass Ion Calculations'!$C$25-'Mass Ion Calculations'!$C7)/2-'Mass Ion Calculations'!$D$5,('Mass Ion Calculations'!$F$15+'AA Exact Masses'!$Q$3+'AA Exact Masses'!$Q$3-'Mass Ion Calculations'!$E$25-'Mass Ion Calculations'!$E7)/2-'Mass Ion Calculations'!$D$5)))</f>
        <v/>
      </c>
      <c r="X6" s="3" t="str">
        <f>IF(OR($B6="",X$3=""),"",IF('Mass Ion Calculations'!$D$6="Yes",IF('Mass Ion Calculations'!$D$7="Yes",('Mass Ion Calculations'!$D$18+'AA Exact Masses'!$Q$3+'AA Exact Masses'!$Q$3-'Mass Ion Calculations'!$C$26-'Mass Ion Calculations'!$C7)/2-'Mass Ion Calculations'!$D$5,('Mass Ion Calculations'!$F$18+'AA Exact Masses'!$Q$3+'AA Exact Masses'!$Q$3-'Mass Ion Calculations'!$E$26-'Mass Ion Calculations'!$E7)/2-'Mass Ion Calculations'!$D$5),IF('Mass Ion Calculations'!$D$7="Yes", ('Mass Ion Calculations'!$D$15+'AA Exact Masses'!$Q$3+'AA Exact Masses'!$Q$3-'Mass Ion Calculations'!$C$26-'Mass Ion Calculations'!$C7)/2-'Mass Ion Calculations'!$D$5,('Mass Ion Calculations'!$F$15+'AA Exact Masses'!$Q$3+'AA Exact Masses'!$Q$3-'Mass Ion Calculations'!$E$26-'Mass Ion Calculations'!$E7)/2-'Mass Ion Calculations'!$D$5)))</f>
        <v/>
      </c>
      <c r="Y6" s="3" t="str">
        <f>IF(OR($B6="",Y$3=""),"",IF('Mass Ion Calculations'!$D$6="Yes",IF('Mass Ion Calculations'!$D$7="Yes",('Mass Ion Calculations'!$D$18+'AA Exact Masses'!$Q$3+'AA Exact Masses'!$Q$3-'Mass Ion Calculations'!$C$27-'Mass Ion Calculations'!$C7)/2-'Mass Ion Calculations'!$D$5,('Mass Ion Calculations'!$F$18+'AA Exact Masses'!$Q$3+'AA Exact Masses'!$Q$3-'Mass Ion Calculations'!$E$27-'Mass Ion Calculations'!$E7)/2-'Mass Ion Calculations'!$D$5),IF('Mass Ion Calculations'!$D$7="Yes", ('Mass Ion Calculations'!$D$15+'AA Exact Masses'!$Q$3+'AA Exact Masses'!$Q$3-'Mass Ion Calculations'!$C$27-'Mass Ion Calculations'!$C7)/2-'Mass Ion Calculations'!$D$5,('Mass Ion Calculations'!$F$15+'AA Exact Masses'!$Q$3+'AA Exact Masses'!$Q$3-'Mass Ion Calculations'!$E$27-'Mass Ion Calculations'!$E7)/2-'Mass Ion Calculations'!$D$5)))</f>
        <v/>
      </c>
      <c r="Z6" s="3" t="str">
        <f>IF(OR($B6="",Z$3=""),"",IF('Mass Ion Calculations'!$D$6="Yes",IF('Mass Ion Calculations'!$D$7="Yes",('Mass Ion Calculations'!$D$18+'AA Exact Masses'!$Q$3+'AA Exact Masses'!$Q$3-'Mass Ion Calculations'!$C$28-'Mass Ion Calculations'!$C7)/2-'Mass Ion Calculations'!$D$5,('Mass Ion Calculations'!$F$18+'AA Exact Masses'!$Q$3+'AA Exact Masses'!$Q$3-'Mass Ion Calculations'!$E$28-'Mass Ion Calculations'!$E7)/2-'Mass Ion Calculations'!$D$5),IF('Mass Ion Calculations'!$D$7="Yes", ('Mass Ion Calculations'!$D$15+'AA Exact Masses'!$Q$3+'AA Exact Masses'!$Q$3-'Mass Ion Calculations'!$C$28-'Mass Ion Calculations'!$C7)/2-'Mass Ion Calculations'!$D$5,('Mass Ion Calculations'!$F$15+'AA Exact Masses'!$Q$3+'AA Exact Masses'!$Q$3-'Mass Ion Calculations'!$E$28-'Mass Ion Calculations'!$E7)/2-'Mass Ion Calculations'!$D$5)))</f>
        <v/>
      </c>
    </row>
    <row r="7" spans="2:26" x14ac:dyDescent="0.25">
      <c r="B7" s="4" t="str">
        <f>IF('Mass Ion Calculations'!B8="","", 'Mass Ion Calculations'!B8)</f>
        <v>Ile</v>
      </c>
      <c r="C7" s="3">
        <f>IF(OR($B7="",C$3=""),"",IF('Mass Ion Calculations'!$D$6="Yes",IF('Mass Ion Calculations'!$D$7="Yes",('Mass Ion Calculations'!$D$18+'AA Exact Masses'!$Q$3+'AA Exact Masses'!$Q$3-'Mass Ion Calculations'!$C$5-'Mass Ion Calculations'!$C8)/2-'Mass Ion Calculations'!$D$5,('Mass Ion Calculations'!$F$18+'AA Exact Masses'!$Q$3+'AA Exact Masses'!$Q$3-'Mass Ion Calculations'!$E$5-'Mass Ion Calculations'!$E8)/2-'Mass Ion Calculations'!$D$5),IF('Mass Ion Calculations'!$D$7="Yes", ('Mass Ion Calculations'!$D$15+'AA Exact Masses'!$Q$3+'AA Exact Masses'!$Q$3-'Mass Ion Calculations'!$C$5-'Mass Ion Calculations'!$C8)/2-'Mass Ion Calculations'!$D$5,('Mass Ion Calculations'!$F$15+'AA Exact Masses'!$Q$3+'AA Exact Masses'!$Q$3-'Mass Ion Calculations'!$E$5-'Mass Ion Calculations'!$E8)/2-'Mass Ion Calculations'!$D$5)))</f>
        <v>-402.62921499999993</v>
      </c>
      <c r="D7" s="3">
        <f>IF(OR($B7="",D$3=""),"",IF('Mass Ion Calculations'!$D$6="Yes",IF('Mass Ion Calculations'!$D$7="Yes",('Mass Ion Calculations'!$D$18+'AA Exact Masses'!$Q$3+'AA Exact Masses'!$Q$3-'Mass Ion Calculations'!$C$6-'Mass Ion Calculations'!$C8)/2-'Mass Ion Calculations'!$D$5,('Mass Ion Calculations'!$F$18+'AA Exact Masses'!$Q$3+'AA Exact Masses'!$Q$3-'Mass Ion Calculations'!$E$6-'Mass Ion Calculations'!$E8)/2-'Mass Ion Calculations'!$D$5),IF('Mass Ion Calculations'!$D$7="Yes", ('Mass Ion Calculations'!$D$15+'AA Exact Masses'!$Q$3+'AA Exact Masses'!$Q$3-'Mass Ion Calculations'!$C$6-'Mass Ion Calculations'!$C8)/2-'Mass Ion Calculations'!$D$5,('Mass Ion Calculations'!$F$15+'AA Exact Masses'!$Q$3+'AA Exact Masses'!$Q$3-'Mass Ion Calculations'!$E$6-'Mass Ion Calculations'!$E8)/2-'Mass Ion Calculations'!$D$5)))</f>
        <v>-381.1081099999999</v>
      </c>
      <c r="E7" s="3">
        <f>IF(OR($B7="",E$3=""),"",IF('Mass Ion Calculations'!$D$6="Yes",IF('Mass Ion Calculations'!$D$7="Yes",('Mass Ion Calculations'!$D$18+'AA Exact Masses'!$Q$3+'AA Exact Masses'!$Q$3-'Mass Ion Calculations'!$C$7-'Mass Ion Calculations'!$C8)/2-'Mass Ion Calculations'!$D$5,('Mass Ion Calculations'!$F$18+'AA Exact Masses'!$Q$3+'AA Exact Masses'!$Q$3-'Mass Ion Calculations'!$E$7-'Mass Ion Calculations'!$E8)/2-'Mass Ion Calculations'!$D$5),IF('Mass Ion Calculations'!$D$7="Yes", ('Mass Ion Calculations'!$D$15+'AA Exact Masses'!$Q$3+'AA Exact Masses'!$Q$3-'Mass Ion Calculations'!$C$7-'Mass Ion Calculations'!$C8)/2-'Mass Ion Calculations'!$D$5,('Mass Ion Calculations'!$F$15+'AA Exact Masses'!$Q$3+'AA Exact Masses'!$Q$3-'Mass Ion Calculations'!$E$7-'Mass Ion Calculations'!$E8)/2-'Mass Ion Calculations'!$D$5)))</f>
        <v>-402.13158499999986</v>
      </c>
      <c r="F7" s="3">
        <f>IF(OR($B7="",F$3=""),"",IF('Mass Ion Calculations'!$D$6="Yes",IF('Mass Ion Calculations'!$D$7="Yes",('Mass Ion Calculations'!$D$18+'AA Exact Masses'!$Q$3+'AA Exact Masses'!$Q$3-'Mass Ion Calculations'!$C$8-'Mass Ion Calculations'!$C8)/2-'Mass Ion Calculations'!$D$5,('Mass Ion Calculations'!$F$18+'AA Exact Masses'!$Q$3+'AA Exact Masses'!$Q$3-'Mass Ion Calculations'!$E$8-'Mass Ion Calculations'!$E8)/2-'Mass Ion Calculations'!$D$5),IF('Mass Ion Calculations'!$D$7="Yes", ('Mass Ion Calculations'!$D$15+'AA Exact Masses'!$Q$3+'AA Exact Masses'!$Q$3-'Mass Ion Calculations'!$C$8-'Mass Ion Calculations'!$C8)/2-'Mass Ion Calculations'!$D$5,('Mass Ion Calculations'!$F$15+'AA Exact Masses'!$Q$3+'AA Exact Masses'!$Q$3-'Mass Ion Calculations'!$E$8-'Mass Ion Calculations'!$E8)/2-'Mass Ion Calculations'!$D$5)))</f>
        <v>-402.13158499999986</v>
      </c>
      <c r="G7" s="3">
        <f>IF(OR($B7="",G$3=""),"",IF('Mass Ion Calculations'!$D$6="Yes",IF('Mass Ion Calculations'!$D$7="Yes",('Mass Ion Calculations'!$D$18+'AA Exact Masses'!$Q$3+'AA Exact Masses'!$Q$3-'Mass Ion Calculations'!$C$9-'Mass Ion Calculations'!$C8)/2-'Mass Ion Calculations'!$D$5,('Mass Ion Calculations'!$F$18+'AA Exact Masses'!$Q$3+'AA Exact Masses'!$Q$3-'Mass Ion Calculations'!$E$9-'Mass Ion Calculations'!$E8)/2-'Mass Ion Calculations'!$D$5),IF('Mass Ion Calculations'!$D$7="Yes", ('Mass Ion Calculations'!$D$15+'AA Exact Masses'!$Q$3+'AA Exact Masses'!$Q$3-'Mass Ion Calculations'!$C$9-'Mass Ion Calculations'!$C8)/2-'Mass Ion Calculations'!$D$5,('Mass Ion Calculations'!$F$15+'AA Exact Masses'!$Q$3+'AA Exact Masses'!$Q$3-'Mass Ion Calculations'!$E$9-'Mass Ion Calculations'!$E8)/2-'Mass Ion Calculations'!$D$5)))</f>
        <v>-381.1081099999999</v>
      </c>
      <c r="H7" s="3">
        <f>IF(OR($B7="",H$3=""),"",IF('Mass Ion Calculations'!$D$6="Yes",IF('Mass Ion Calculations'!$D$7="Yes",('Mass Ion Calculations'!$D$18+'AA Exact Masses'!$Q$3+'AA Exact Masses'!$Q$3-'Mass Ion Calculations'!$C$10-'Mass Ion Calculations'!$C8)/2-'Mass Ion Calculations'!$D$5,('Mass Ion Calculations'!$F$18+'AA Exact Masses'!$Q$3+'AA Exact Masses'!$Q$3-'Mass Ion Calculations'!$E$10-'Mass Ion Calculations'!$E8)/2-'Mass Ion Calculations'!$D$5),IF('Mass Ion Calculations'!$D$7="Yes", ('Mass Ion Calculations'!$D$15+'AA Exact Masses'!$Q$3+'AA Exact Masses'!$Q$3-'Mass Ion Calculations'!$C$10-'Mass Ion Calculations'!$C8)/2-'Mass Ion Calculations'!$D$5,('Mass Ion Calculations'!$F$15+'AA Exact Masses'!$Q$3+'AA Exact Masses'!$Q$3-'Mass Ion Calculations'!$E$10-'Mass Ion Calculations'!$E8)/2-'Mass Ion Calculations'!$D$5)))</f>
        <v>-402.13158499999986</v>
      </c>
      <c r="I7" s="3">
        <f>IF(OR($B7="",I$3=""),"",IF('Mass Ion Calculations'!$D$6="Yes",IF('Mass Ion Calculations'!$D$7="Yes",('Mass Ion Calculations'!$D$18+'AA Exact Masses'!$Q$3+'AA Exact Masses'!$Q$3-'Mass Ion Calculations'!$C$11-'Mass Ion Calculations'!$C8)/2-'Mass Ion Calculations'!$D$5,('Mass Ion Calculations'!$F$18+'AA Exact Masses'!$Q$3+'AA Exact Masses'!$Q$3-'Mass Ion Calculations'!$E$11-'Mass Ion Calculations'!$E8)/2-'Mass Ion Calculations'!$D$5),IF('Mass Ion Calculations'!$D$7="Yes", ('Mass Ion Calculations'!$D$15+'AA Exact Masses'!$Q$3+'AA Exact Masses'!$Q$3-'Mass Ion Calculations'!$C$11-'Mass Ion Calculations'!$C8)/2-'Mass Ion Calculations'!$D$5,('Mass Ion Calculations'!$F$15+'AA Exact Masses'!$Q$3+'AA Exact Masses'!$Q$3-'Mass Ion Calculations'!$E$11-'Mass Ion Calculations'!$E8)/2-'Mass Ion Calculations'!$D$5)))</f>
        <v>-402.62921499999993</v>
      </c>
      <c r="J7" s="3">
        <f>IF(OR($B7="",J$3=""),"",IF('Mass Ion Calculations'!$D$6="Yes",IF('Mass Ion Calculations'!$D$7="Yes",('Mass Ion Calculations'!$D$18+'AA Exact Masses'!$Q$3+'AA Exact Masses'!$Q$3-'Mass Ion Calculations'!$C$12-'Mass Ion Calculations'!$C8)/2-'Mass Ion Calculations'!$D$5,('Mass Ion Calculations'!$F$18+'AA Exact Masses'!$Q$3+'AA Exact Masses'!$Q$3-'Mass Ion Calculations'!$E$12-'Mass Ion Calculations'!$E8)/2-'Mass Ion Calculations'!$D$5),IF('Mass Ion Calculations'!$D$7="Yes", ('Mass Ion Calculations'!$D$15+'AA Exact Masses'!$Q$3+'AA Exact Masses'!$Q$3-'Mass Ion Calculations'!$C$12-'Mass Ion Calculations'!$C8)/2-'Mass Ion Calculations'!$D$5,('Mass Ion Calculations'!$F$15+'AA Exact Masses'!$Q$3+'AA Exact Masses'!$Q$3-'Mass Ion Calculations'!$E$12-'Mass Ion Calculations'!$E8)/2-'Mass Ion Calculations'!$D$5)))</f>
        <v>-395.12375999999995</v>
      </c>
      <c r="K7" s="3">
        <f>IF(OR($B7="",K$3=""),"",IF('Mass Ion Calculations'!$D$6="Yes",IF('Mass Ion Calculations'!$D$7="Yes",('Mass Ion Calculations'!$D$18+'AA Exact Masses'!$Q$3+'AA Exact Masses'!$Q$3-'Mass Ion Calculations'!$C$13-'Mass Ion Calculations'!$C8)/2-'Mass Ion Calculations'!$D$5,('Mass Ion Calculations'!$F$18+'AA Exact Masses'!$Q$3+'AA Exact Masses'!$Q$3-'Mass Ion Calculations'!$E$13-'Mass Ion Calculations'!$E8)/2-'Mass Ion Calculations'!$D$5),IF('Mass Ion Calculations'!$D$7="Yes", ('Mass Ion Calculations'!$D$15+'AA Exact Masses'!$Q$3+'AA Exact Masses'!$Q$3-'Mass Ion Calculations'!$C$13-'Mass Ion Calculations'!$C8)/2-'Mass Ion Calculations'!$D$5,('Mass Ion Calculations'!$F$15+'AA Exact Masses'!$Q$3+'AA Exact Masses'!$Q$3-'Mass Ion Calculations'!$E$13-'Mass Ion Calculations'!$E8)/2-'Mass Ion Calculations'!$D$5)))</f>
        <v>-402.62921499999993</v>
      </c>
      <c r="L7" s="3">
        <f>IF(OR($B7="",L$3=""),"",IF('Mass Ion Calculations'!$D$6="Yes",IF('Mass Ion Calculations'!$D$7="Yes",('Mass Ion Calculations'!$D$18+'AA Exact Masses'!$Q$3+'AA Exact Masses'!$Q$3-'Mass Ion Calculations'!$C$14-'Mass Ion Calculations'!$C8)/2-'Mass Ion Calculations'!$D$5,('Mass Ion Calculations'!$F$18+'AA Exact Masses'!$Q$3+'AA Exact Masses'!$Q$3-'Mass Ion Calculations'!$E$14-'Mass Ion Calculations'!$E8)/2-'Mass Ion Calculations'!$D$5),IF('Mass Ion Calculations'!$D$7="Yes", ('Mass Ion Calculations'!$D$15+'AA Exact Masses'!$Q$3+'AA Exact Masses'!$Q$3-'Mass Ion Calculations'!$C$14-'Mass Ion Calculations'!$C8)/2-'Mass Ion Calculations'!$D$5,('Mass Ion Calculations'!$F$15+'AA Exact Masses'!$Q$3+'AA Exact Masses'!$Q$3-'Mass Ion Calculations'!$E$14-'Mass Ion Calculations'!$E8)/2-'Mass Ion Calculations'!$D$5)))</f>
        <v>-410.11084999999991</v>
      </c>
      <c r="M7" s="3">
        <f>IF(OR($B7="",M$3=""),"",IF('Mass Ion Calculations'!$D$6="Yes",IF('Mass Ion Calculations'!$D$7="Yes",('Mass Ion Calculations'!$D$18+'AA Exact Masses'!$Q$3+'AA Exact Masses'!$Q$3-'Mass Ion Calculations'!$C$15-'Mass Ion Calculations'!$C8)/2-'Mass Ion Calculations'!$D$5,('Mass Ion Calculations'!$F$18+'AA Exact Masses'!$Q$3+'AA Exact Masses'!$Q$3-'Mass Ion Calculations'!$E$15-'Mass Ion Calculations'!$E8)/2-'Mass Ion Calculations'!$D$5),IF('Mass Ion Calculations'!$D$7="Yes", ('Mass Ion Calculations'!$D$15+'AA Exact Masses'!$Q$3+'AA Exact Masses'!$Q$3-'Mass Ion Calculations'!$C$15-'Mass Ion Calculations'!$C8)/2-'Mass Ion Calculations'!$D$5,('Mass Ion Calculations'!$F$15+'AA Exact Masses'!$Q$3+'AA Exact Masses'!$Q$3-'Mass Ion Calculations'!$E$15-'Mass Ion Calculations'!$E8)/2-'Mass Ion Calculations'!$D$5)))</f>
        <v>-403.10302499999989</v>
      </c>
      <c r="N7" s="3">
        <f>IF(OR($B7="",N$3=""),"",IF('Mass Ion Calculations'!$D$6="Yes",IF('Mass Ion Calculations'!$D$7="Yes",('Mass Ion Calculations'!$D$18+'AA Exact Masses'!$Q$3+'AA Exact Masses'!$Q$3-'Mass Ion Calculations'!$C$16-'Mass Ion Calculations'!$C8)/2-'Mass Ion Calculations'!$D$5,('Mass Ion Calculations'!$F$18+'AA Exact Masses'!$Q$3+'AA Exact Masses'!$Q$3-'Mass Ion Calculations'!$E$16-'Mass Ion Calculations'!$E8)/2-'Mass Ion Calculations'!$D$5),IF('Mass Ion Calculations'!$D$7="Yes", ('Mass Ion Calculations'!$D$15+'AA Exact Masses'!$Q$3+'AA Exact Masses'!$Q$3-'Mass Ion Calculations'!$C$16-'Mass Ion Calculations'!$C8)/2-'Mass Ion Calculations'!$D$5,('Mass Ion Calculations'!$F$15+'AA Exact Masses'!$Q$3+'AA Exact Masses'!$Q$3-'Mass Ion Calculations'!$E$16-'Mass Ion Calculations'!$E8)/2-'Mass Ion Calculations'!$D$5)))</f>
        <v>-381.1081099999999</v>
      </c>
      <c r="O7" s="3">
        <f>IF(OR($B7="",O$3=""),"",IF('Mass Ion Calculations'!$D$6="Yes",IF('Mass Ion Calculations'!$D$7="Yes",('Mass Ion Calculations'!$D$18+'AA Exact Masses'!$Q$3+'AA Exact Masses'!$Q$3-'Mass Ion Calculations'!$C$17-'Mass Ion Calculations'!$C8)/2-'Mass Ion Calculations'!$D$5,('Mass Ion Calculations'!$F$18+'AA Exact Masses'!$Q$3+'AA Exact Masses'!$Q$3-'Mass Ion Calculations'!$E$17-'Mass Ion Calculations'!$E8)/2-'Mass Ion Calculations'!$D$5),IF('Mass Ion Calculations'!$D$7="Yes", ('Mass Ion Calculations'!$D$15+'AA Exact Masses'!$Q$3+'AA Exact Masses'!$Q$3-'Mass Ion Calculations'!$C$17-'Mass Ion Calculations'!$C8)/2-'Mass Ion Calculations'!$D$5,('Mass Ion Calculations'!$F$15+'AA Exact Masses'!$Q$3+'AA Exact Masses'!$Q$3-'Mass Ion Calculations'!$E$17-'Mass Ion Calculations'!$E8)/2-'Mass Ion Calculations'!$D$5)))</f>
        <v>-419.12375999999995</v>
      </c>
      <c r="P7" s="3">
        <f>IF(OR($B7="",P$3=""),"",IF('Mass Ion Calculations'!$D$6="Yes",IF('Mass Ion Calculations'!$D$7="Yes",('Mass Ion Calculations'!$D$18+'AA Exact Masses'!$Q$3+'AA Exact Masses'!$Q$3-'Mass Ion Calculations'!$C$18-'Mass Ion Calculations'!$C8)/2-'Mass Ion Calculations'!$D$5,('Mass Ion Calculations'!$F$18+'AA Exact Masses'!$Q$3+'AA Exact Masses'!$Q$3-'Mass Ion Calculations'!$E$18-'Mass Ion Calculations'!$E8)/2-'Mass Ion Calculations'!$D$5),IF('Mass Ion Calculations'!$D$7="Yes", ('Mass Ion Calculations'!$D$15+'AA Exact Masses'!$Q$3+'AA Exact Masses'!$Q$3-'Mass Ion Calculations'!$C$18-'Mass Ion Calculations'!$C8)/2-'Mass Ion Calculations'!$D$5,('Mass Ion Calculations'!$F$15+'AA Exact Masses'!$Q$3+'AA Exact Masses'!$Q$3-'Mass Ion Calculations'!$E$18-'Mass Ion Calculations'!$E8)/2-'Mass Ion Calculations'!$D$5)))</f>
        <v>-482.0720849999999</v>
      </c>
      <c r="Q7" s="3">
        <f>IF(OR($B7="",Q$3=""),"",IF('Mass Ion Calculations'!$D$6="Yes",IF('Mass Ion Calculations'!$D$7="Yes",('Mass Ion Calculations'!$D$18+'AA Exact Masses'!$Q$3+'AA Exact Masses'!$Q$3-'Mass Ion Calculations'!$C$19-'Mass Ion Calculations'!$C8)/2-'Mass Ion Calculations'!$D$5,('Mass Ion Calculations'!$F$18+'AA Exact Masses'!$Q$3+'AA Exact Masses'!$Q$3-'Mass Ion Calculations'!$E$19-'Mass Ion Calculations'!$E8)/2-'Mass Ion Calculations'!$D$5),IF('Mass Ion Calculations'!$D$7="Yes", ('Mass Ion Calculations'!$D$15+'AA Exact Masses'!$Q$3+'AA Exact Masses'!$Q$3-'Mass Ion Calculations'!$C$19-'Mass Ion Calculations'!$C8)/2-'Mass Ion Calculations'!$D$5,('Mass Ion Calculations'!$F$15+'AA Exact Masses'!$Q$3+'AA Exact Masses'!$Q$3-'Mass Ion Calculations'!$E$19-'Mass Ion Calculations'!$E8)/2-'Mass Ion Calculations'!$D$5)))</f>
        <v>-395.12375999999995</v>
      </c>
      <c r="R7" s="3">
        <f>IF(OR($B7="",R$3=""),"",IF('Mass Ion Calculations'!$D$6="Yes",IF('Mass Ion Calculations'!$D$7="Yes",('Mass Ion Calculations'!$D$18+'AA Exact Masses'!$Q$3+'AA Exact Masses'!$Q$3-'Mass Ion Calculations'!$C$20-'Mass Ion Calculations'!$C8)/2-'Mass Ion Calculations'!$D$5,('Mass Ion Calculations'!$F$18+'AA Exact Masses'!$Q$3+'AA Exact Masses'!$Q$3-'Mass Ion Calculations'!$E$20-'Mass Ion Calculations'!$E8)/2-'Mass Ion Calculations'!$D$5),IF('Mass Ion Calculations'!$D$7="Yes", ('Mass Ion Calculations'!$D$15+'AA Exact Masses'!$Q$3+'AA Exact Masses'!$Q$3-'Mass Ion Calculations'!$C$20-'Mass Ion Calculations'!$C8)/2-'Mass Ion Calculations'!$D$5,('Mass Ion Calculations'!$F$15+'AA Exact Masses'!$Q$3+'AA Exact Masses'!$Q$3-'Mass Ion Calculations'!$E$20-'Mass Ion Calculations'!$E8)/2-'Mass Ion Calculations'!$D$5)))</f>
        <v>-402.13158499999986</v>
      </c>
      <c r="S7" s="3" t="str">
        <f>IF(OR($B7="",S$3=""),"",IF('Mass Ion Calculations'!$D$6="Yes",IF('Mass Ion Calculations'!$D$7="Yes",('Mass Ion Calculations'!$D$18+'AA Exact Masses'!$Q$3+'AA Exact Masses'!$Q$3-'Mass Ion Calculations'!$C$21-'Mass Ion Calculations'!$C8)/2-'Mass Ion Calculations'!$D$5,('Mass Ion Calculations'!$F$18+'AA Exact Masses'!$Q$3+'AA Exact Masses'!$Q$3-'Mass Ion Calculations'!$E$21-'Mass Ion Calculations'!$E8)/2-'Mass Ion Calculations'!$D$5),IF('Mass Ion Calculations'!$D$7="Yes", ('Mass Ion Calculations'!$D$15+'AA Exact Masses'!$Q$3+'AA Exact Masses'!$Q$3-'Mass Ion Calculations'!$C$21-'Mass Ion Calculations'!$C8)/2-'Mass Ion Calculations'!$D$5,('Mass Ion Calculations'!$F$15+'AA Exact Masses'!$Q$3+'AA Exact Masses'!$Q$3-'Mass Ion Calculations'!$E$21-'Mass Ion Calculations'!$E8)/2-'Mass Ion Calculations'!$D$5)))</f>
        <v/>
      </c>
      <c r="T7" s="3" t="e">
        <f>IF(OR($B7="",T$3=""),"",IF('Mass Ion Calculations'!$D$6="Yes",IF('Mass Ion Calculations'!$D$7="Yes",('Mass Ion Calculations'!$D$18+'AA Exact Masses'!$Q$3+'AA Exact Masses'!$Q$3-'Mass Ion Calculations'!$C$22-'Mass Ion Calculations'!$C8)/2-'Mass Ion Calculations'!$D$5,('Mass Ion Calculations'!$F$18+'AA Exact Masses'!$Q$3+'AA Exact Masses'!$Q$3-'Mass Ion Calculations'!$E$22-'Mass Ion Calculations'!$E8)/2-'Mass Ion Calculations'!$D$5),IF('Mass Ion Calculations'!$D$7="Yes", ('Mass Ion Calculations'!$D$15+'AA Exact Masses'!$Q$3+'AA Exact Masses'!$Q$3-'Mass Ion Calculations'!$C$22-'Mass Ion Calculations'!$C8)/2-'Mass Ion Calculations'!$D$5,('Mass Ion Calculations'!$F$15+'AA Exact Masses'!$Q$3+'AA Exact Masses'!$Q$3-'Mass Ion Calculations'!$E$22-'Mass Ion Calculations'!$E8)/2-'Mass Ion Calculations'!$D$5)))</f>
        <v>#VALUE!</v>
      </c>
      <c r="U7" s="3" t="e">
        <f>IF(OR($B7="",U$3=""),"",IF('Mass Ion Calculations'!$D$6="Yes",IF('Mass Ion Calculations'!$D$7="Yes",('Mass Ion Calculations'!$D$18+'AA Exact Masses'!$Q$3+'AA Exact Masses'!$Q$3-'Mass Ion Calculations'!$C$23-'Mass Ion Calculations'!$C8)/2-'Mass Ion Calculations'!$D$5,('Mass Ion Calculations'!$F$18+'AA Exact Masses'!$Q$3+'AA Exact Masses'!$Q$3-'Mass Ion Calculations'!$E$23-'Mass Ion Calculations'!$E8)/2-'Mass Ion Calculations'!$D$5),IF('Mass Ion Calculations'!$D$7="Yes", ('Mass Ion Calculations'!$D$15+'AA Exact Masses'!$Q$3+'AA Exact Masses'!$Q$3-'Mass Ion Calculations'!$C$23-'Mass Ion Calculations'!$C8)/2-'Mass Ion Calculations'!$D$5,('Mass Ion Calculations'!$F$15+'AA Exact Masses'!$Q$3+'AA Exact Masses'!$Q$3-'Mass Ion Calculations'!$E$23-'Mass Ion Calculations'!$E8)/2-'Mass Ion Calculations'!$D$5)))</f>
        <v>#VALUE!</v>
      </c>
      <c r="V7" s="3" t="str">
        <f>IF(OR($B7="",V$3=""),"",IF('Mass Ion Calculations'!$D$6="Yes",IF('Mass Ion Calculations'!$D$7="Yes",('Mass Ion Calculations'!$D$18+'AA Exact Masses'!$Q$3+'AA Exact Masses'!$Q$3-'Mass Ion Calculations'!$C$24-'Mass Ion Calculations'!$C8)/2-'Mass Ion Calculations'!$D$5,('Mass Ion Calculations'!$F$18+'AA Exact Masses'!$Q$3+'AA Exact Masses'!$Q$3-'Mass Ion Calculations'!$E$24-'Mass Ion Calculations'!$E8)/2-'Mass Ion Calculations'!$D$5),IF('Mass Ion Calculations'!$D$7="Yes", ('Mass Ion Calculations'!$D$15+'AA Exact Masses'!$Q$3+'AA Exact Masses'!$Q$3-'Mass Ion Calculations'!$C$24-'Mass Ion Calculations'!$C8)/2-'Mass Ion Calculations'!$D$5,('Mass Ion Calculations'!$F$15+'AA Exact Masses'!$Q$3+'AA Exact Masses'!$Q$3-'Mass Ion Calculations'!$E$24-'Mass Ion Calculations'!$E8)/2-'Mass Ion Calculations'!$D$5)))</f>
        <v/>
      </c>
      <c r="W7" s="3" t="str">
        <f>IF(OR($B7="",W$3=""),"",IF('Mass Ion Calculations'!$D$6="Yes",IF('Mass Ion Calculations'!$D$7="Yes",('Mass Ion Calculations'!$D$18+'AA Exact Masses'!$Q$3+'AA Exact Masses'!$Q$3-'Mass Ion Calculations'!$C$25-'Mass Ion Calculations'!$C8)/2-'Mass Ion Calculations'!$D$5,('Mass Ion Calculations'!$F$18+'AA Exact Masses'!$Q$3+'AA Exact Masses'!$Q$3-'Mass Ion Calculations'!$E$25-'Mass Ion Calculations'!$E8)/2-'Mass Ion Calculations'!$D$5),IF('Mass Ion Calculations'!$D$7="Yes", ('Mass Ion Calculations'!$D$15+'AA Exact Masses'!$Q$3+'AA Exact Masses'!$Q$3-'Mass Ion Calculations'!$C$25-'Mass Ion Calculations'!$C8)/2-'Mass Ion Calculations'!$D$5,('Mass Ion Calculations'!$F$15+'AA Exact Masses'!$Q$3+'AA Exact Masses'!$Q$3-'Mass Ion Calculations'!$E$25-'Mass Ion Calculations'!$E8)/2-'Mass Ion Calculations'!$D$5)))</f>
        <v/>
      </c>
      <c r="X7" s="3" t="str">
        <f>IF(OR($B7="",X$3=""),"",IF('Mass Ion Calculations'!$D$6="Yes",IF('Mass Ion Calculations'!$D$7="Yes",('Mass Ion Calculations'!$D$18+'AA Exact Masses'!$Q$3+'AA Exact Masses'!$Q$3-'Mass Ion Calculations'!$C$26-'Mass Ion Calculations'!$C8)/2-'Mass Ion Calculations'!$D$5,('Mass Ion Calculations'!$F$18+'AA Exact Masses'!$Q$3+'AA Exact Masses'!$Q$3-'Mass Ion Calculations'!$E$26-'Mass Ion Calculations'!$E8)/2-'Mass Ion Calculations'!$D$5),IF('Mass Ion Calculations'!$D$7="Yes", ('Mass Ion Calculations'!$D$15+'AA Exact Masses'!$Q$3+'AA Exact Masses'!$Q$3-'Mass Ion Calculations'!$C$26-'Mass Ion Calculations'!$C8)/2-'Mass Ion Calculations'!$D$5,('Mass Ion Calculations'!$F$15+'AA Exact Masses'!$Q$3+'AA Exact Masses'!$Q$3-'Mass Ion Calculations'!$E$26-'Mass Ion Calculations'!$E8)/2-'Mass Ion Calculations'!$D$5)))</f>
        <v/>
      </c>
      <c r="Y7" s="3" t="str">
        <f>IF(OR($B7="",Y$3=""),"",IF('Mass Ion Calculations'!$D$6="Yes",IF('Mass Ion Calculations'!$D$7="Yes",('Mass Ion Calculations'!$D$18+'AA Exact Masses'!$Q$3+'AA Exact Masses'!$Q$3-'Mass Ion Calculations'!$C$27-'Mass Ion Calculations'!$C8)/2-'Mass Ion Calculations'!$D$5,('Mass Ion Calculations'!$F$18+'AA Exact Masses'!$Q$3+'AA Exact Masses'!$Q$3-'Mass Ion Calculations'!$E$27-'Mass Ion Calculations'!$E8)/2-'Mass Ion Calculations'!$D$5),IF('Mass Ion Calculations'!$D$7="Yes", ('Mass Ion Calculations'!$D$15+'AA Exact Masses'!$Q$3+'AA Exact Masses'!$Q$3-'Mass Ion Calculations'!$C$27-'Mass Ion Calculations'!$C8)/2-'Mass Ion Calculations'!$D$5,('Mass Ion Calculations'!$F$15+'AA Exact Masses'!$Q$3+'AA Exact Masses'!$Q$3-'Mass Ion Calculations'!$E$27-'Mass Ion Calculations'!$E8)/2-'Mass Ion Calculations'!$D$5)))</f>
        <v/>
      </c>
      <c r="Z7" s="3" t="str">
        <f>IF(OR($B7="",Z$3=""),"",IF('Mass Ion Calculations'!$D$6="Yes",IF('Mass Ion Calculations'!$D$7="Yes",('Mass Ion Calculations'!$D$18+'AA Exact Masses'!$Q$3+'AA Exact Masses'!$Q$3-'Mass Ion Calculations'!$C$28-'Mass Ion Calculations'!$C8)/2-'Mass Ion Calculations'!$D$5,('Mass Ion Calculations'!$F$18+'AA Exact Masses'!$Q$3+'AA Exact Masses'!$Q$3-'Mass Ion Calculations'!$E$28-'Mass Ion Calculations'!$E8)/2-'Mass Ion Calculations'!$D$5),IF('Mass Ion Calculations'!$D$7="Yes", ('Mass Ion Calculations'!$D$15+'AA Exact Masses'!$Q$3+'AA Exact Masses'!$Q$3-'Mass Ion Calculations'!$C$28-'Mass Ion Calculations'!$C8)/2-'Mass Ion Calculations'!$D$5,('Mass Ion Calculations'!$F$15+'AA Exact Masses'!$Q$3+'AA Exact Masses'!$Q$3-'Mass Ion Calculations'!$E$28-'Mass Ion Calculations'!$E8)/2-'Mass Ion Calculations'!$D$5)))</f>
        <v/>
      </c>
    </row>
    <row r="8" spans="2:26" x14ac:dyDescent="0.25">
      <c r="B8" s="4" t="str">
        <f>IF('Mass Ion Calculations'!B9="","", 'Mass Ion Calculations'!B9)</f>
        <v>N-Meth-Gly</v>
      </c>
      <c r="C8" s="3">
        <f>IF(OR($B8="",C$3=""),"",IF('Mass Ion Calculations'!$D$6="Yes",IF('Mass Ion Calculations'!$D$7="Yes",('Mass Ion Calculations'!$D$18+'AA Exact Masses'!$Q$3+'AA Exact Masses'!$Q$3-'Mass Ion Calculations'!$C$5-'Mass Ion Calculations'!$C9)/2-'Mass Ion Calculations'!$D$5,('Mass Ion Calculations'!$F$18+'AA Exact Masses'!$Q$3+'AA Exact Masses'!$Q$3-'Mass Ion Calculations'!$E$5-'Mass Ion Calculations'!$E9)/2-'Mass Ion Calculations'!$D$5),IF('Mass Ion Calculations'!$D$7="Yes", ('Mass Ion Calculations'!$D$15+'AA Exact Masses'!$Q$3+'AA Exact Masses'!$Q$3-'Mass Ion Calculations'!$C$5-'Mass Ion Calculations'!$C9)/2-'Mass Ion Calculations'!$D$5,('Mass Ion Calculations'!$F$15+'AA Exact Masses'!$Q$3+'AA Exact Masses'!$Q$3-'Mass Ion Calculations'!$E$5-'Mass Ion Calculations'!$E9)/2-'Mass Ion Calculations'!$D$5)))</f>
        <v>-381.60573999999997</v>
      </c>
      <c r="D8" s="3">
        <f>IF(OR($B8="",D$3=""),"",IF('Mass Ion Calculations'!$D$6="Yes",IF('Mass Ion Calculations'!$D$7="Yes",('Mass Ion Calculations'!$D$18+'AA Exact Masses'!$Q$3+'AA Exact Masses'!$Q$3-'Mass Ion Calculations'!$C$6-'Mass Ion Calculations'!$C9)/2-'Mass Ion Calculations'!$D$5,('Mass Ion Calculations'!$F$18+'AA Exact Masses'!$Q$3+'AA Exact Masses'!$Q$3-'Mass Ion Calculations'!$E$6-'Mass Ion Calculations'!$E9)/2-'Mass Ion Calculations'!$D$5),IF('Mass Ion Calculations'!$D$7="Yes", ('Mass Ion Calculations'!$D$15+'AA Exact Masses'!$Q$3+'AA Exact Masses'!$Q$3-'Mass Ion Calculations'!$C$6-'Mass Ion Calculations'!$C9)/2-'Mass Ion Calculations'!$D$5,('Mass Ion Calculations'!$F$15+'AA Exact Masses'!$Q$3+'AA Exact Masses'!$Q$3-'Mass Ion Calculations'!$E$6-'Mass Ion Calculations'!$E9)/2-'Mass Ion Calculations'!$D$5)))</f>
        <v>-360.08463499999993</v>
      </c>
      <c r="E8" s="3">
        <f>IF(OR($B8="",E$3=""),"",IF('Mass Ion Calculations'!$D$6="Yes",IF('Mass Ion Calculations'!$D$7="Yes",('Mass Ion Calculations'!$D$18+'AA Exact Masses'!$Q$3+'AA Exact Masses'!$Q$3-'Mass Ion Calculations'!$C$7-'Mass Ion Calculations'!$C9)/2-'Mass Ion Calculations'!$D$5,('Mass Ion Calculations'!$F$18+'AA Exact Masses'!$Q$3+'AA Exact Masses'!$Q$3-'Mass Ion Calculations'!$E$7-'Mass Ion Calculations'!$E9)/2-'Mass Ion Calculations'!$D$5),IF('Mass Ion Calculations'!$D$7="Yes", ('Mass Ion Calculations'!$D$15+'AA Exact Masses'!$Q$3+'AA Exact Masses'!$Q$3-'Mass Ion Calculations'!$C$7-'Mass Ion Calculations'!$C9)/2-'Mass Ion Calculations'!$D$5,('Mass Ion Calculations'!$F$15+'AA Exact Masses'!$Q$3+'AA Exact Masses'!$Q$3-'Mass Ion Calculations'!$E$7-'Mass Ion Calculations'!$E9)/2-'Mass Ion Calculations'!$D$5)))</f>
        <v>-381.1081099999999</v>
      </c>
      <c r="F8" s="3">
        <f>IF(OR($B8="",F$3=""),"",IF('Mass Ion Calculations'!$D$6="Yes",IF('Mass Ion Calculations'!$D$7="Yes",('Mass Ion Calculations'!$D$18+'AA Exact Masses'!$Q$3+'AA Exact Masses'!$Q$3-'Mass Ion Calculations'!$C$8-'Mass Ion Calculations'!$C9)/2-'Mass Ion Calculations'!$D$5,('Mass Ion Calculations'!$F$18+'AA Exact Masses'!$Q$3+'AA Exact Masses'!$Q$3-'Mass Ion Calculations'!$E$8-'Mass Ion Calculations'!$E9)/2-'Mass Ion Calculations'!$D$5),IF('Mass Ion Calculations'!$D$7="Yes", ('Mass Ion Calculations'!$D$15+'AA Exact Masses'!$Q$3+'AA Exact Masses'!$Q$3-'Mass Ion Calculations'!$C$8-'Mass Ion Calculations'!$C9)/2-'Mass Ion Calculations'!$D$5,('Mass Ion Calculations'!$F$15+'AA Exact Masses'!$Q$3+'AA Exact Masses'!$Q$3-'Mass Ion Calculations'!$E$8-'Mass Ion Calculations'!$E9)/2-'Mass Ion Calculations'!$D$5)))</f>
        <v>-381.1081099999999</v>
      </c>
      <c r="G8" s="3">
        <f>IF(OR($B8="",G$3=""),"",IF('Mass Ion Calculations'!$D$6="Yes",IF('Mass Ion Calculations'!$D$7="Yes",('Mass Ion Calculations'!$D$18+'AA Exact Masses'!$Q$3+'AA Exact Masses'!$Q$3-'Mass Ion Calculations'!$C$9-'Mass Ion Calculations'!$C9)/2-'Mass Ion Calculations'!$D$5,('Mass Ion Calculations'!$F$18+'AA Exact Masses'!$Q$3+'AA Exact Masses'!$Q$3-'Mass Ion Calculations'!$E$9-'Mass Ion Calculations'!$E9)/2-'Mass Ion Calculations'!$D$5),IF('Mass Ion Calculations'!$D$7="Yes", ('Mass Ion Calculations'!$D$15+'AA Exact Masses'!$Q$3+'AA Exact Masses'!$Q$3-'Mass Ion Calculations'!$C$9-'Mass Ion Calculations'!$C9)/2-'Mass Ion Calculations'!$D$5,('Mass Ion Calculations'!$F$15+'AA Exact Masses'!$Q$3+'AA Exact Masses'!$Q$3-'Mass Ion Calculations'!$E$9-'Mass Ion Calculations'!$E9)/2-'Mass Ion Calculations'!$D$5)))</f>
        <v>-360.08463499999993</v>
      </c>
      <c r="H8" s="3">
        <f>IF(OR($B8="",H$3=""),"",IF('Mass Ion Calculations'!$D$6="Yes",IF('Mass Ion Calculations'!$D$7="Yes",('Mass Ion Calculations'!$D$18+'AA Exact Masses'!$Q$3+'AA Exact Masses'!$Q$3-'Mass Ion Calculations'!$C$10-'Mass Ion Calculations'!$C9)/2-'Mass Ion Calculations'!$D$5,('Mass Ion Calculations'!$F$18+'AA Exact Masses'!$Q$3+'AA Exact Masses'!$Q$3-'Mass Ion Calculations'!$E$10-'Mass Ion Calculations'!$E9)/2-'Mass Ion Calculations'!$D$5),IF('Mass Ion Calculations'!$D$7="Yes", ('Mass Ion Calculations'!$D$15+'AA Exact Masses'!$Q$3+'AA Exact Masses'!$Q$3-'Mass Ion Calculations'!$C$10-'Mass Ion Calculations'!$C9)/2-'Mass Ion Calculations'!$D$5,('Mass Ion Calculations'!$F$15+'AA Exact Masses'!$Q$3+'AA Exact Masses'!$Q$3-'Mass Ion Calculations'!$E$10-'Mass Ion Calculations'!$E9)/2-'Mass Ion Calculations'!$D$5)))</f>
        <v>-381.1081099999999</v>
      </c>
      <c r="I8" s="3">
        <f>IF(OR($B8="",I$3=""),"",IF('Mass Ion Calculations'!$D$6="Yes",IF('Mass Ion Calculations'!$D$7="Yes",('Mass Ion Calculations'!$D$18+'AA Exact Masses'!$Q$3+'AA Exact Masses'!$Q$3-'Mass Ion Calculations'!$C$11-'Mass Ion Calculations'!$C9)/2-'Mass Ion Calculations'!$D$5,('Mass Ion Calculations'!$F$18+'AA Exact Masses'!$Q$3+'AA Exact Masses'!$Q$3-'Mass Ion Calculations'!$E$11-'Mass Ion Calculations'!$E9)/2-'Mass Ion Calculations'!$D$5),IF('Mass Ion Calculations'!$D$7="Yes", ('Mass Ion Calculations'!$D$15+'AA Exact Masses'!$Q$3+'AA Exact Masses'!$Q$3-'Mass Ion Calculations'!$C$11-'Mass Ion Calculations'!$C9)/2-'Mass Ion Calculations'!$D$5,('Mass Ion Calculations'!$F$15+'AA Exact Masses'!$Q$3+'AA Exact Masses'!$Q$3-'Mass Ion Calculations'!$E$11-'Mass Ion Calculations'!$E9)/2-'Mass Ion Calculations'!$D$5)))</f>
        <v>-381.60573999999997</v>
      </c>
      <c r="J8" s="3">
        <f>IF(OR($B8="",J$3=""),"",IF('Mass Ion Calculations'!$D$6="Yes",IF('Mass Ion Calculations'!$D$7="Yes",('Mass Ion Calculations'!$D$18+'AA Exact Masses'!$Q$3+'AA Exact Masses'!$Q$3-'Mass Ion Calculations'!$C$12-'Mass Ion Calculations'!$C9)/2-'Mass Ion Calculations'!$D$5,('Mass Ion Calculations'!$F$18+'AA Exact Masses'!$Q$3+'AA Exact Masses'!$Q$3-'Mass Ion Calculations'!$E$12-'Mass Ion Calculations'!$E9)/2-'Mass Ion Calculations'!$D$5),IF('Mass Ion Calculations'!$D$7="Yes", ('Mass Ion Calculations'!$D$15+'AA Exact Masses'!$Q$3+'AA Exact Masses'!$Q$3-'Mass Ion Calculations'!$C$12-'Mass Ion Calculations'!$C9)/2-'Mass Ion Calculations'!$D$5,('Mass Ion Calculations'!$F$15+'AA Exact Masses'!$Q$3+'AA Exact Masses'!$Q$3-'Mass Ion Calculations'!$E$12-'Mass Ion Calculations'!$E9)/2-'Mass Ion Calculations'!$D$5)))</f>
        <v>-374.10028499999999</v>
      </c>
      <c r="K8" s="3">
        <f>IF(OR($B8="",K$3=""),"",IF('Mass Ion Calculations'!$D$6="Yes",IF('Mass Ion Calculations'!$D$7="Yes",('Mass Ion Calculations'!$D$18+'AA Exact Masses'!$Q$3+'AA Exact Masses'!$Q$3-'Mass Ion Calculations'!$C$13-'Mass Ion Calculations'!$C9)/2-'Mass Ion Calculations'!$D$5,('Mass Ion Calculations'!$F$18+'AA Exact Masses'!$Q$3+'AA Exact Masses'!$Q$3-'Mass Ion Calculations'!$E$13-'Mass Ion Calculations'!$E9)/2-'Mass Ion Calculations'!$D$5),IF('Mass Ion Calculations'!$D$7="Yes", ('Mass Ion Calculations'!$D$15+'AA Exact Masses'!$Q$3+'AA Exact Masses'!$Q$3-'Mass Ion Calculations'!$C$13-'Mass Ion Calculations'!$C9)/2-'Mass Ion Calculations'!$D$5,('Mass Ion Calculations'!$F$15+'AA Exact Masses'!$Q$3+'AA Exact Masses'!$Q$3-'Mass Ion Calculations'!$E$13-'Mass Ion Calculations'!$E9)/2-'Mass Ion Calculations'!$D$5)))</f>
        <v>-381.60573999999997</v>
      </c>
      <c r="L8" s="3">
        <f>IF(OR($B8="",L$3=""),"",IF('Mass Ion Calculations'!$D$6="Yes",IF('Mass Ion Calculations'!$D$7="Yes",('Mass Ion Calculations'!$D$18+'AA Exact Masses'!$Q$3+'AA Exact Masses'!$Q$3-'Mass Ion Calculations'!$C$14-'Mass Ion Calculations'!$C9)/2-'Mass Ion Calculations'!$D$5,('Mass Ion Calculations'!$F$18+'AA Exact Masses'!$Q$3+'AA Exact Masses'!$Q$3-'Mass Ion Calculations'!$E$14-'Mass Ion Calculations'!$E9)/2-'Mass Ion Calculations'!$D$5),IF('Mass Ion Calculations'!$D$7="Yes", ('Mass Ion Calculations'!$D$15+'AA Exact Masses'!$Q$3+'AA Exact Masses'!$Q$3-'Mass Ion Calculations'!$C$14-'Mass Ion Calculations'!$C9)/2-'Mass Ion Calculations'!$D$5,('Mass Ion Calculations'!$F$15+'AA Exact Masses'!$Q$3+'AA Exact Masses'!$Q$3-'Mass Ion Calculations'!$E$14-'Mass Ion Calculations'!$E9)/2-'Mass Ion Calculations'!$D$5)))</f>
        <v>-389.08737499999995</v>
      </c>
      <c r="M8" s="3">
        <f>IF(OR($B8="",M$3=""),"",IF('Mass Ion Calculations'!$D$6="Yes",IF('Mass Ion Calculations'!$D$7="Yes",('Mass Ion Calculations'!$D$18+'AA Exact Masses'!$Q$3+'AA Exact Masses'!$Q$3-'Mass Ion Calculations'!$C$15-'Mass Ion Calculations'!$C9)/2-'Mass Ion Calculations'!$D$5,('Mass Ion Calculations'!$F$18+'AA Exact Masses'!$Q$3+'AA Exact Masses'!$Q$3-'Mass Ion Calculations'!$E$15-'Mass Ion Calculations'!$E9)/2-'Mass Ion Calculations'!$D$5),IF('Mass Ion Calculations'!$D$7="Yes", ('Mass Ion Calculations'!$D$15+'AA Exact Masses'!$Q$3+'AA Exact Masses'!$Q$3-'Mass Ion Calculations'!$C$15-'Mass Ion Calculations'!$C9)/2-'Mass Ion Calculations'!$D$5,('Mass Ion Calculations'!$F$15+'AA Exact Masses'!$Q$3+'AA Exact Masses'!$Q$3-'Mass Ion Calculations'!$E$15-'Mass Ion Calculations'!$E9)/2-'Mass Ion Calculations'!$D$5)))</f>
        <v>-382.07954999999993</v>
      </c>
      <c r="N8" s="3">
        <f>IF(OR($B8="",N$3=""),"",IF('Mass Ion Calculations'!$D$6="Yes",IF('Mass Ion Calculations'!$D$7="Yes",('Mass Ion Calculations'!$D$18+'AA Exact Masses'!$Q$3+'AA Exact Masses'!$Q$3-'Mass Ion Calculations'!$C$16-'Mass Ion Calculations'!$C9)/2-'Mass Ion Calculations'!$D$5,('Mass Ion Calculations'!$F$18+'AA Exact Masses'!$Q$3+'AA Exact Masses'!$Q$3-'Mass Ion Calculations'!$E$16-'Mass Ion Calculations'!$E9)/2-'Mass Ion Calculations'!$D$5),IF('Mass Ion Calculations'!$D$7="Yes", ('Mass Ion Calculations'!$D$15+'AA Exact Masses'!$Q$3+'AA Exact Masses'!$Q$3-'Mass Ion Calculations'!$C$16-'Mass Ion Calculations'!$C9)/2-'Mass Ion Calculations'!$D$5,('Mass Ion Calculations'!$F$15+'AA Exact Masses'!$Q$3+'AA Exact Masses'!$Q$3-'Mass Ion Calculations'!$E$16-'Mass Ion Calculations'!$E9)/2-'Mass Ion Calculations'!$D$5)))</f>
        <v>-360.08463499999993</v>
      </c>
      <c r="O8" s="3">
        <f>IF(OR($B8="",O$3=""),"",IF('Mass Ion Calculations'!$D$6="Yes",IF('Mass Ion Calculations'!$D$7="Yes",('Mass Ion Calculations'!$D$18+'AA Exact Masses'!$Q$3+'AA Exact Masses'!$Q$3-'Mass Ion Calculations'!$C$17-'Mass Ion Calculations'!$C9)/2-'Mass Ion Calculations'!$D$5,('Mass Ion Calculations'!$F$18+'AA Exact Masses'!$Q$3+'AA Exact Masses'!$Q$3-'Mass Ion Calculations'!$E$17-'Mass Ion Calculations'!$E9)/2-'Mass Ion Calculations'!$D$5),IF('Mass Ion Calculations'!$D$7="Yes", ('Mass Ion Calculations'!$D$15+'AA Exact Masses'!$Q$3+'AA Exact Masses'!$Q$3-'Mass Ion Calculations'!$C$17-'Mass Ion Calculations'!$C9)/2-'Mass Ion Calculations'!$D$5,('Mass Ion Calculations'!$F$15+'AA Exact Masses'!$Q$3+'AA Exact Masses'!$Q$3-'Mass Ion Calculations'!$E$17-'Mass Ion Calculations'!$E9)/2-'Mass Ion Calculations'!$D$5)))</f>
        <v>-398.10028499999999</v>
      </c>
      <c r="P8" s="3">
        <f>IF(OR($B8="",P$3=""),"",IF('Mass Ion Calculations'!$D$6="Yes",IF('Mass Ion Calculations'!$D$7="Yes",('Mass Ion Calculations'!$D$18+'AA Exact Masses'!$Q$3+'AA Exact Masses'!$Q$3-'Mass Ion Calculations'!$C$18-'Mass Ion Calculations'!$C9)/2-'Mass Ion Calculations'!$D$5,('Mass Ion Calculations'!$F$18+'AA Exact Masses'!$Q$3+'AA Exact Masses'!$Q$3-'Mass Ion Calculations'!$E$18-'Mass Ion Calculations'!$E9)/2-'Mass Ion Calculations'!$D$5),IF('Mass Ion Calculations'!$D$7="Yes", ('Mass Ion Calculations'!$D$15+'AA Exact Masses'!$Q$3+'AA Exact Masses'!$Q$3-'Mass Ion Calculations'!$C$18-'Mass Ion Calculations'!$C9)/2-'Mass Ion Calculations'!$D$5,('Mass Ion Calculations'!$F$15+'AA Exact Masses'!$Q$3+'AA Exact Masses'!$Q$3-'Mass Ion Calculations'!$E$18-'Mass Ion Calculations'!$E9)/2-'Mass Ion Calculations'!$D$5)))</f>
        <v>-461.04860999999994</v>
      </c>
      <c r="Q8" s="3">
        <f>IF(OR($B8="",Q$3=""),"",IF('Mass Ion Calculations'!$D$6="Yes",IF('Mass Ion Calculations'!$D$7="Yes",('Mass Ion Calculations'!$D$18+'AA Exact Masses'!$Q$3+'AA Exact Masses'!$Q$3-'Mass Ion Calculations'!$C$19-'Mass Ion Calculations'!$C9)/2-'Mass Ion Calculations'!$D$5,('Mass Ion Calculations'!$F$18+'AA Exact Masses'!$Q$3+'AA Exact Masses'!$Q$3-'Mass Ion Calculations'!$E$19-'Mass Ion Calculations'!$E9)/2-'Mass Ion Calculations'!$D$5),IF('Mass Ion Calculations'!$D$7="Yes", ('Mass Ion Calculations'!$D$15+'AA Exact Masses'!$Q$3+'AA Exact Masses'!$Q$3-'Mass Ion Calculations'!$C$19-'Mass Ion Calculations'!$C9)/2-'Mass Ion Calculations'!$D$5,('Mass Ion Calculations'!$F$15+'AA Exact Masses'!$Q$3+'AA Exact Masses'!$Q$3-'Mass Ion Calculations'!$E$19-'Mass Ion Calculations'!$E9)/2-'Mass Ion Calculations'!$D$5)))</f>
        <v>-374.10028499999999</v>
      </c>
      <c r="R8" s="3">
        <f>IF(OR($B8="",R$3=""),"",IF('Mass Ion Calculations'!$D$6="Yes",IF('Mass Ion Calculations'!$D$7="Yes",('Mass Ion Calculations'!$D$18+'AA Exact Masses'!$Q$3+'AA Exact Masses'!$Q$3-'Mass Ion Calculations'!$C$20-'Mass Ion Calculations'!$C9)/2-'Mass Ion Calculations'!$D$5,('Mass Ion Calculations'!$F$18+'AA Exact Masses'!$Q$3+'AA Exact Masses'!$Q$3-'Mass Ion Calculations'!$E$20-'Mass Ion Calculations'!$E9)/2-'Mass Ion Calculations'!$D$5),IF('Mass Ion Calculations'!$D$7="Yes", ('Mass Ion Calculations'!$D$15+'AA Exact Masses'!$Q$3+'AA Exact Masses'!$Q$3-'Mass Ion Calculations'!$C$20-'Mass Ion Calculations'!$C9)/2-'Mass Ion Calculations'!$D$5,('Mass Ion Calculations'!$F$15+'AA Exact Masses'!$Q$3+'AA Exact Masses'!$Q$3-'Mass Ion Calculations'!$E$20-'Mass Ion Calculations'!$E9)/2-'Mass Ion Calculations'!$D$5)))</f>
        <v>-381.1081099999999</v>
      </c>
      <c r="S8" s="3" t="str">
        <f>IF(OR($B8="",S$3=""),"",IF('Mass Ion Calculations'!$D$6="Yes",IF('Mass Ion Calculations'!$D$7="Yes",('Mass Ion Calculations'!$D$18+'AA Exact Masses'!$Q$3+'AA Exact Masses'!$Q$3-'Mass Ion Calculations'!$C$21-'Mass Ion Calculations'!$C9)/2-'Mass Ion Calculations'!$D$5,('Mass Ion Calculations'!$F$18+'AA Exact Masses'!$Q$3+'AA Exact Masses'!$Q$3-'Mass Ion Calculations'!$E$21-'Mass Ion Calculations'!$E9)/2-'Mass Ion Calculations'!$D$5),IF('Mass Ion Calculations'!$D$7="Yes", ('Mass Ion Calculations'!$D$15+'AA Exact Masses'!$Q$3+'AA Exact Masses'!$Q$3-'Mass Ion Calculations'!$C$21-'Mass Ion Calculations'!$C9)/2-'Mass Ion Calculations'!$D$5,('Mass Ion Calculations'!$F$15+'AA Exact Masses'!$Q$3+'AA Exact Masses'!$Q$3-'Mass Ion Calculations'!$E$21-'Mass Ion Calculations'!$E9)/2-'Mass Ion Calculations'!$D$5)))</f>
        <v/>
      </c>
      <c r="T8" s="3" t="e">
        <f>IF(OR($B8="",T$3=""),"",IF('Mass Ion Calculations'!$D$6="Yes",IF('Mass Ion Calculations'!$D$7="Yes",('Mass Ion Calculations'!$D$18+'AA Exact Masses'!$Q$3+'AA Exact Masses'!$Q$3-'Mass Ion Calculations'!$C$22-'Mass Ion Calculations'!$C9)/2-'Mass Ion Calculations'!$D$5,('Mass Ion Calculations'!$F$18+'AA Exact Masses'!$Q$3+'AA Exact Masses'!$Q$3-'Mass Ion Calculations'!$E$22-'Mass Ion Calculations'!$E9)/2-'Mass Ion Calculations'!$D$5),IF('Mass Ion Calculations'!$D$7="Yes", ('Mass Ion Calculations'!$D$15+'AA Exact Masses'!$Q$3+'AA Exact Masses'!$Q$3-'Mass Ion Calculations'!$C$22-'Mass Ion Calculations'!$C9)/2-'Mass Ion Calculations'!$D$5,('Mass Ion Calculations'!$F$15+'AA Exact Masses'!$Q$3+'AA Exact Masses'!$Q$3-'Mass Ion Calculations'!$E$22-'Mass Ion Calculations'!$E9)/2-'Mass Ion Calculations'!$D$5)))</f>
        <v>#VALUE!</v>
      </c>
      <c r="U8" s="3" t="e">
        <f>IF(OR($B8="",U$3=""),"",IF('Mass Ion Calculations'!$D$6="Yes",IF('Mass Ion Calculations'!$D$7="Yes",('Mass Ion Calculations'!$D$18+'AA Exact Masses'!$Q$3+'AA Exact Masses'!$Q$3-'Mass Ion Calculations'!$C$23-'Mass Ion Calculations'!$C9)/2-'Mass Ion Calculations'!$D$5,('Mass Ion Calculations'!$F$18+'AA Exact Masses'!$Q$3+'AA Exact Masses'!$Q$3-'Mass Ion Calculations'!$E$23-'Mass Ion Calculations'!$E9)/2-'Mass Ion Calculations'!$D$5),IF('Mass Ion Calculations'!$D$7="Yes", ('Mass Ion Calculations'!$D$15+'AA Exact Masses'!$Q$3+'AA Exact Masses'!$Q$3-'Mass Ion Calculations'!$C$23-'Mass Ion Calculations'!$C9)/2-'Mass Ion Calculations'!$D$5,('Mass Ion Calculations'!$F$15+'AA Exact Masses'!$Q$3+'AA Exact Masses'!$Q$3-'Mass Ion Calculations'!$E$23-'Mass Ion Calculations'!$E9)/2-'Mass Ion Calculations'!$D$5)))</f>
        <v>#VALUE!</v>
      </c>
      <c r="V8" s="3" t="str">
        <f>IF(OR($B8="",V$3=""),"",IF('Mass Ion Calculations'!$D$6="Yes",IF('Mass Ion Calculations'!$D$7="Yes",('Mass Ion Calculations'!$D$18+'AA Exact Masses'!$Q$3+'AA Exact Masses'!$Q$3-'Mass Ion Calculations'!$C$24-'Mass Ion Calculations'!$C9)/2-'Mass Ion Calculations'!$D$5,('Mass Ion Calculations'!$F$18+'AA Exact Masses'!$Q$3+'AA Exact Masses'!$Q$3-'Mass Ion Calculations'!$E$24-'Mass Ion Calculations'!$E9)/2-'Mass Ion Calculations'!$D$5),IF('Mass Ion Calculations'!$D$7="Yes", ('Mass Ion Calculations'!$D$15+'AA Exact Masses'!$Q$3+'AA Exact Masses'!$Q$3-'Mass Ion Calculations'!$C$24-'Mass Ion Calculations'!$C9)/2-'Mass Ion Calculations'!$D$5,('Mass Ion Calculations'!$F$15+'AA Exact Masses'!$Q$3+'AA Exact Masses'!$Q$3-'Mass Ion Calculations'!$E$24-'Mass Ion Calculations'!$E9)/2-'Mass Ion Calculations'!$D$5)))</f>
        <v/>
      </c>
      <c r="W8" s="3" t="str">
        <f>IF(OR($B8="",W$3=""),"",IF('Mass Ion Calculations'!$D$6="Yes",IF('Mass Ion Calculations'!$D$7="Yes",('Mass Ion Calculations'!$D$18+'AA Exact Masses'!$Q$3+'AA Exact Masses'!$Q$3-'Mass Ion Calculations'!$C$25-'Mass Ion Calculations'!$C9)/2-'Mass Ion Calculations'!$D$5,('Mass Ion Calculations'!$F$18+'AA Exact Masses'!$Q$3+'AA Exact Masses'!$Q$3-'Mass Ion Calculations'!$E$25-'Mass Ion Calculations'!$E9)/2-'Mass Ion Calculations'!$D$5),IF('Mass Ion Calculations'!$D$7="Yes", ('Mass Ion Calculations'!$D$15+'AA Exact Masses'!$Q$3+'AA Exact Masses'!$Q$3-'Mass Ion Calculations'!$C$25-'Mass Ion Calculations'!$C9)/2-'Mass Ion Calculations'!$D$5,('Mass Ion Calculations'!$F$15+'AA Exact Masses'!$Q$3+'AA Exact Masses'!$Q$3-'Mass Ion Calculations'!$E$25-'Mass Ion Calculations'!$E9)/2-'Mass Ion Calculations'!$D$5)))</f>
        <v/>
      </c>
      <c r="X8" s="3" t="str">
        <f>IF(OR($B8="",X$3=""),"",IF('Mass Ion Calculations'!$D$6="Yes",IF('Mass Ion Calculations'!$D$7="Yes",('Mass Ion Calculations'!$D$18+'AA Exact Masses'!$Q$3+'AA Exact Masses'!$Q$3-'Mass Ion Calculations'!$C$26-'Mass Ion Calculations'!$C9)/2-'Mass Ion Calculations'!$D$5,('Mass Ion Calculations'!$F$18+'AA Exact Masses'!$Q$3+'AA Exact Masses'!$Q$3-'Mass Ion Calculations'!$E$26-'Mass Ion Calculations'!$E9)/2-'Mass Ion Calculations'!$D$5),IF('Mass Ion Calculations'!$D$7="Yes", ('Mass Ion Calculations'!$D$15+'AA Exact Masses'!$Q$3+'AA Exact Masses'!$Q$3-'Mass Ion Calculations'!$C$26-'Mass Ion Calculations'!$C9)/2-'Mass Ion Calculations'!$D$5,('Mass Ion Calculations'!$F$15+'AA Exact Masses'!$Q$3+'AA Exact Masses'!$Q$3-'Mass Ion Calculations'!$E$26-'Mass Ion Calculations'!$E9)/2-'Mass Ion Calculations'!$D$5)))</f>
        <v/>
      </c>
      <c r="Y8" s="3" t="str">
        <f>IF(OR($B8="",Y$3=""),"",IF('Mass Ion Calculations'!$D$6="Yes",IF('Mass Ion Calculations'!$D$7="Yes",('Mass Ion Calculations'!$D$18+'AA Exact Masses'!$Q$3+'AA Exact Masses'!$Q$3-'Mass Ion Calculations'!$C$27-'Mass Ion Calculations'!$C9)/2-'Mass Ion Calculations'!$D$5,('Mass Ion Calculations'!$F$18+'AA Exact Masses'!$Q$3+'AA Exact Masses'!$Q$3-'Mass Ion Calculations'!$E$27-'Mass Ion Calculations'!$E9)/2-'Mass Ion Calculations'!$D$5),IF('Mass Ion Calculations'!$D$7="Yes", ('Mass Ion Calculations'!$D$15+'AA Exact Masses'!$Q$3+'AA Exact Masses'!$Q$3-'Mass Ion Calculations'!$C$27-'Mass Ion Calculations'!$C9)/2-'Mass Ion Calculations'!$D$5,('Mass Ion Calculations'!$F$15+'AA Exact Masses'!$Q$3+'AA Exact Masses'!$Q$3-'Mass Ion Calculations'!$E$27-'Mass Ion Calculations'!$E9)/2-'Mass Ion Calculations'!$D$5)))</f>
        <v/>
      </c>
      <c r="Z8" s="3" t="str">
        <f>IF(OR($B8="",Z$3=""),"",IF('Mass Ion Calculations'!$D$6="Yes",IF('Mass Ion Calculations'!$D$7="Yes",('Mass Ion Calculations'!$D$18+'AA Exact Masses'!$Q$3+'AA Exact Masses'!$Q$3-'Mass Ion Calculations'!$C$28-'Mass Ion Calculations'!$C9)/2-'Mass Ion Calculations'!$D$5,('Mass Ion Calculations'!$F$18+'AA Exact Masses'!$Q$3+'AA Exact Masses'!$Q$3-'Mass Ion Calculations'!$E$28-'Mass Ion Calculations'!$E9)/2-'Mass Ion Calculations'!$D$5),IF('Mass Ion Calculations'!$D$7="Yes", ('Mass Ion Calculations'!$D$15+'AA Exact Masses'!$Q$3+'AA Exact Masses'!$Q$3-'Mass Ion Calculations'!$C$28-'Mass Ion Calculations'!$C9)/2-'Mass Ion Calculations'!$D$5,('Mass Ion Calculations'!$F$15+'AA Exact Masses'!$Q$3+'AA Exact Masses'!$Q$3-'Mass Ion Calculations'!$E$28-'Mass Ion Calculations'!$E9)/2-'Mass Ion Calculations'!$D$5)))</f>
        <v/>
      </c>
    </row>
    <row r="9" spans="2:26" x14ac:dyDescent="0.25">
      <c r="B9" s="4" t="str">
        <f>IF('Mass Ion Calculations'!B10="","", 'Mass Ion Calculations'!B10)</f>
        <v>Leu</v>
      </c>
      <c r="C9" s="3">
        <f>IF(OR($B9="",C$3=""),"",IF('Mass Ion Calculations'!$D$6="Yes",IF('Mass Ion Calculations'!$D$7="Yes",('Mass Ion Calculations'!$D$18+'AA Exact Masses'!$Q$3+'AA Exact Masses'!$Q$3-'Mass Ion Calculations'!$C$5-'Mass Ion Calculations'!$C10)/2-'Mass Ion Calculations'!$D$5,('Mass Ion Calculations'!$F$18+'AA Exact Masses'!$Q$3+'AA Exact Masses'!$Q$3-'Mass Ion Calculations'!$E$5-'Mass Ion Calculations'!$E10)/2-'Mass Ion Calculations'!$D$5),IF('Mass Ion Calculations'!$D$7="Yes", ('Mass Ion Calculations'!$D$15+'AA Exact Masses'!$Q$3+'AA Exact Masses'!$Q$3-'Mass Ion Calculations'!$C$5-'Mass Ion Calculations'!$C10)/2-'Mass Ion Calculations'!$D$5,('Mass Ion Calculations'!$F$15+'AA Exact Masses'!$Q$3+'AA Exact Masses'!$Q$3-'Mass Ion Calculations'!$E$5-'Mass Ion Calculations'!$E10)/2-'Mass Ion Calculations'!$D$5)))</f>
        <v>-402.62921499999993</v>
      </c>
      <c r="D9" s="3">
        <f>IF(OR($B9="",D$3=""),"",IF('Mass Ion Calculations'!$D$6="Yes",IF('Mass Ion Calculations'!$D$7="Yes",('Mass Ion Calculations'!$D$18+'AA Exact Masses'!$Q$3+'AA Exact Masses'!$Q$3-'Mass Ion Calculations'!$C$6-'Mass Ion Calculations'!$C10)/2-'Mass Ion Calculations'!$D$5,('Mass Ion Calculations'!$F$18+'AA Exact Masses'!$Q$3+'AA Exact Masses'!$Q$3-'Mass Ion Calculations'!$E$6-'Mass Ion Calculations'!$E10)/2-'Mass Ion Calculations'!$D$5),IF('Mass Ion Calculations'!$D$7="Yes", ('Mass Ion Calculations'!$D$15+'AA Exact Masses'!$Q$3+'AA Exact Masses'!$Q$3-'Mass Ion Calculations'!$C$6-'Mass Ion Calculations'!$C10)/2-'Mass Ion Calculations'!$D$5,('Mass Ion Calculations'!$F$15+'AA Exact Masses'!$Q$3+'AA Exact Masses'!$Q$3-'Mass Ion Calculations'!$E$6-'Mass Ion Calculations'!$E10)/2-'Mass Ion Calculations'!$D$5)))</f>
        <v>-381.1081099999999</v>
      </c>
      <c r="E9" s="3">
        <f>IF(OR($B9="",E$3=""),"",IF('Mass Ion Calculations'!$D$6="Yes",IF('Mass Ion Calculations'!$D$7="Yes",('Mass Ion Calculations'!$D$18+'AA Exact Masses'!$Q$3+'AA Exact Masses'!$Q$3-'Mass Ion Calculations'!$C$7-'Mass Ion Calculations'!$C10)/2-'Mass Ion Calculations'!$D$5,('Mass Ion Calculations'!$F$18+'AA Exact Masses'!$Q$3+'AA Exact Masses'!$Q$3-'Mass Ion Calculations'!$E$7-'Mass Ion Calculations'!$E10)/2-'Mass Ion Calculations'!$D$5),IF('Mass Ion Calculations'!$D$7="Yes", ('Mass Ion Calculations'!$D$15+'AA Exact Masses'!$Q$3+'AA Exact Masses'!$Q$3-'Mass Ion Calculations'!$C$7-'Mass Ion Calculations'!$C10)/2-'Mass Ion Calculations'!$D$5,('Mass Ion Calculations'!$F$15+'AA Exact Masses'!$Q$3+'AA Exact Masses'!$Q$3-'Mass Ion Calculations'!$E$7-'Mass Ion Calculations'!$E10)/2-'Mass Ion Calculations'!$D$5)))</f>
        <v>-402.13158499999986</v>
      </c>
      <c r="F9" s="3">
        <f>IF(OR($B9="",F$3=""),"",IF('Mass Ion Calculations'!$D$6="Yes",IF('Mass Ion Calculations'!$D$7="Yes",('Mass Ion Calculations'!$D$18+'AA Exact Masses'!$Q$3+'AA Exact Masses'!$Q$3-'Mass Ion Calculations'!$C$8-'Mass Ion Calculations'!$C10)/2-'Mass Ion Calculations'!$D$5,('Mass Ion Calculations'!$F$18+'AA Exact Masses'!$Q$3+'AA Exact Masses'!$Q$3-'Mass Ion Calculations'!$E$8-'Mass Ion Calculations'!$E10)/2-'Mass Ion Calculations'!$D$5),IF('Mass Ion Calculations'!$D$7="Yes", ('Mass Ion Calculations'!$D$15+'AA Exact Masses'!$Q$3+'AA Exact Masses'!$Q$3-'Mass Ion Calculations'!$C$8-'Mass Ion Calculations'!$C10)/2-'Mass Ion Calculations'!$D$5,('Mass Ion Calculations'!$F$15+'AA Exact Masses'!$Q$3+'AA Exact Masses'!$Q$3-'Mass Ion Calculations'!$E$8-'Mass Ion Calculations'!$E10)/2-'Mass Ion Calculations'!$D$5)))</f>
        <v>-402.13158499999986</v>
      </c>
      <c r="G9" s="3">
        <f>IF(OR($B9="",G$3=""),"",IF('Mass Ion Calculations'!$D$6="Yes",IF('Mass Ion Calculations'!$D$7="Yes",('Mass Ion Calculations'!$D$18+'AA Exact Masses'!$Q$3+'AA Exact Masses'!$Q$3-'Mass Ion Calculations'!$C$9-'Mass Ion Calculations'!$C10)/2-'Mass Ion Calculations'!$D$5,('Mass Ion Calculations'!$F$18+'AA Exact Masses'!$Q$3+'AA Exact Masses'!$Q$3-'Mass Ion Calculations'!$E$9-'Mass Ion Calculations'!$E10)/2-'Mass Ion Calculations'!$D$5),IF('Mass Ion Calculations'!$D$7="Yes", ('Mass Ion Calculations'!$D$15+'AA Exact Masses'!$Q$3+'AA Exact Masses'!$Q$3-'Mass Ion Calculations'!$C$9-'Mass Ion Calculations'!$C10)/2-'Mass Ion Calculations'!$D$5,('Mass Ion Calculations'!$F$15+'AA Exact Masses'!$Q$3+'AA Exact Masses'!$Q$3-'Mass Ion Calculations'!$E$9-'Mass Ion Calculations'!$E10)/2-'Mass Ion Calculations'!$D$5)))</f>
        <v>-381.1081099999999</v>
      </c>
      <c r="H9" s="3">
        <f>IF(OR($B9="",H$3=""),"",IF('Mass Ion Calculations'!$D$6="Yes",IF('Mass Ion Calculations'!$D$7="Yes",('Mass Ion Calculations'!$D$18+'AA Exact Masses'!$Q$3+'AA Exact Masses'!$Q$3-'Mass Ion Calculations'!$C$10-'Mass Ion Calculations'!$C10)/2-'Mass Ion Calculations'!$D$5,('Mass Ion Calculations'!$F$18+'AA Exact Masses'!$Q$3+'AA Exact Masses'!$Q$3-'Mass Ion Calculations'!$E$10-'Mass Ion Calculations'!$E10)/2-'Mass Ion Calculations'!$D$5),IF('Mass Ion Calculations'!$D$7="Yes", ('Mass Ion Calculations'!$D$15+'AA Exact Masses'!$Q$3+'AA Exact Masses'!$Q$3-'Mass Ion Calculations'!$C$10-'Mass Ion Calculations'!$C10)/2-'Mass Ion Calculations'!$D$5,('Mass Ion Calculations'!$F$15+'AA Exact Masses'!$Q$3+'AA Exact Masses'!$Q$3-'Mass Ion Calculations'!$E$10-'Mass Ion Calculations'!$E10)/2-'Mass Ion Calculations'!$D$5)))</f>
        <v>-402.13158499999986</v>
      </c>
      <c r="I9" s="3">
        <f>IF(OR($B9="",I$3=""),"",IF('Mass Ion Calculations'!$D$6="Yes",IF('Mass Ion Calculations'!$D$7="Yes",('Mass Ion Calculations'!$D$18+'AA Exact Masses'!$Q$3+'AA Exact Masses'!$Q$3-'Mass Ion Calculations'!$C$11-'Mass Ion Calculations'!$C10)/2-'Mass Ion Calculations'!$D$5,('Mass Ion Calculations'!$F$18+'AA Exact Masses'!$Q$3+'AA Exact Masses'!$Q$3-'Mass Ion Calculations'!$E$11-'Mass Ion Calculations'!$E10)/2-'Mass Ion Calculations'!$D$5),IF('Mass Ion Calculations'!$D$7="Yes", ('Mass Ion Calculations'!$D$15+'AA Exact Masses'!$Q$3+'AA Exact Masses'!$Q$3-'Mass Ion Calculations'!$C$11-'Mass Ion Calculations'!$C10)/2-'Mass Ion Calculations'!$D$5,('Mass Ion Calculations'!$F$15+'AA Exact Masses'!$Q$3+'AA Exact Masses'!$Q$3-'Mass Ion Calculations'!$E$11-'Mass Ion Calculations'!$E10)/2-'Mass Ion Calculations'!$D$5)))</f>
        <v>-402.62921499999993</v>
      </c>
      <c r="J9" s="3">
        <f>IF(OR($B9="",J$3=""),"",IF('Mass Ion Calculations'!$D$6="Yes",IF('Mass Ion Calculations'!$D$7="Yes",('Mass Ion Calculations'!$D$18+'AA Exact Masses'!$Q$3+'AA Exact Masses'!$Q$3-'Mass Ion Calculations'!$C$12-'Mass Ion Calculations'!$C10)/2-'Mass Ion Calculations'!$D$5,('Mass Ion Calculations'!$F$18+'AA Exact Masses'!$Q$3+'AA Exact Masses'!$Q$3-'Mass Ion Calculations'!$E$12-'Mass Ion Calculations'!$E10)/2-'Mass Ion Calculations'!$D$5),IF('Mass Ion Calculations'!$D$7="Yes", ('Mass Ion Calculations'!$D$15+'AA Exact Masses'!$Q$3+'AA Exact Masses'!$Q$3-'Mass Ion Calculations'!$C$12-'Mass Ion Calculations'!$C10)/2-'Mass Ion Calculations'!$D$5,('Mass Ion Calculations'!$F$15+'AA Exact Masses'!$Q$3+'AA Exact Masses'!$Q$3-'Mass Ion Calculations'!$E$12-'Mass Ion Calculations'!$E10)/2-'Mass Ion Calculations'!$D$5)))</f>
        <v>-395.12375999999995</v>
      </c>
      <c r="K9" s="3">
        <f>IF(OR($B9="",K$3=""),"",IF('Mass Ion Calculations'!$D$6="Yes",IF('Mass Ion Calculations'!$D$7="Yes",('Mass Ion Calculations'!$D$18+'AA Exact Masses'!$Q$3+'AA Exact Masses'!$Q$3-'Mass Ion Calculations'!$C$13-'Mass Ion Calculations'!$C10)/2-'Mass Ion Calculations'!$D$5,('Mass Ion Calculations'!$F$18+'AA Exact Masses'!$Q$3+'AA Exact Masses'!$Q$3-'Mass Ion Calculations'!$E$13-'Mass Ion Calculations'!$E10)/2-'Mass Ion Calculations'!$D$5),IF('Mass Ion Calculations'!$D$7="Yes", ('Mass Ion Calculations'!$D$15+'AA Exact Masses'!$Q$3+'AA Exact Masses'!$Q$3-'Mass Ion Calculations'!$C$13-'Mass Ion Calculations'!$C10)/2-'Mass Ion Calculations'!$D$5,('Mass Ion Calculations'!$F$15+'AA Exact Masses'!$Q$3+'AA Exact Masses'!$Q$3-'Mass Ion Calculations'!$E$13-'Mass Ion Calculations'!$E10)/2-'Mass Ion Calculations'!$D$5)))</f>
        <v>-402.62921499999993</v>
      </c>
      <c r="L9" s="3">
        <f>IF(OR($B9="",L$3=""),"",IF('Mass Ion Calculations'!$D$6="Yes",IF('Mass Ion Calculations'!$D$7="Yes",('Mass Ion Calculations'!$D$18+'AA Exact Masses'!$Q$3+'AA Exact Masses'!$Q$3-'Mass Ion Calculations'!$C$14-'Mass Ion Calculations'!$C10)/2-'Mass Ion Calculations'!$D$5,('Mass Ion Calculations'!$F$18+'AA Exact Masses'!$Q$3+'AA Exact Masses'!$Q$3-'Mass Ion Calculations'!$E$14-'Mass Ion Calculations'!$E10)/2-'Mass Ion Calculations'!$D$5),IF('Mass Ion Calculations'!$D$7="Yes", ('Mass Ion Calculations'!$D$15+'AA Exact Masses'!$Q$3+'AA Exact Masses'!$Q$3-'Mass Ion Calculations'!$C$14-'Mass Ion Calculations'!$C10)/2-'Mass Ion Calculations'!$D$5,('Mass Ion Calculations'!$F$15+'AA Exact Masses'!$Q$3+'AA Exact Masses'!$Q$3-'Mass Ion Calculations'!$E$14-'Mass Ion Calculations'!$E10)/2-'Mass Ion Calculations'!$D$5)))</f>
        <v>-410.11084999999991</v>
      </c>
      <c r="M9" s="3">
        <f>IF(OR($B9="",M$3=""),"",IF('Mass Ion Calculations'!$D$6="Yes",IF('Mass Ion Calculations'!$D$7="Yes",('Mass Ion Calculations'!$D$18+'AA Exact Masses'!$Q$3+'AA Exact Masses'!$Q$3-'Mass Ion Calculations'!$C$15-'Mass Ion Calculations'!$C10)/2-'Mass Ion Calculations'!$D$5,('Mass Ion Calculations'!$F$18+'AA Exact Masses'!$Q$3+'AA Exact Masses'!$Q$3-'Mass Ion Calculations'!$E$15-'Mass Ion Calculations'!$E10)/2-'Mass Ion Calculations'!$D$5),IF('Mass Ion Calculations'!$D$7="Yes", ('Mass Ion Calculations'!$D$15+'AA Exact Masses'!$Q$3+'AA Exact Masses'!$Q$3-'Mass Ion Calculations'!$C$15-'Mass Ion Calculations'!$C10)/2-'Mass Ion Calculations'!$D$5,('Mass Ion Calculations'!$F$15+'AA Exact Masses'!$Q$3+'AA Exact Masses'!$Q$3-'Mass Ion Calculations'!$E$15-'Mass Ion Calculations'!$E10)/2-'Mass Ion Calculations'!$D$5)))</f>
        <v>-403.10302499999989</v>
      </c>
      <c r="N9" s="3">
        <f>IF(OR($B9="",N$3=""),"",IF('Mass Ion Calculations'!$D$6="Yes",IF('Mass Ion Calculations'!$D$7="Yes",('Mass Ion Calculations'!$D$18+'AA Exact Masses'!$Q$3+'AA Exact Masses'!$Q$3-'Mass Ion Calculations'!$C$16-'Mass Ion Calculations'!$C10)/2-'Mass Ion Calculations'!$D$5,('Mass Ion Calculations'!$F$18+'AA Exact Masses'!$Q$3+'AA Exact Masses'!$Q$3-'Mass Ion Calculations'!$E$16-'Mass Ion Calculations'!$E10)/2-'Mass Ion Calculations'!$D$5),IF('Mass Ion Calculations'!$D$7="Yes", ('Mass Ion Calculations'!$D$15+'AA Exact Masses'!$Q$3+'AA Exact Masses'!$Q$3-'Mass Ion Calculations'!$C$16-'Mass Ion Calculations'!$C10)/2-'Mass Ion Calculations'!$D$5,('Mass Ion Calculations'!$F$15+'AA Exact Masses'!$Q$3+'AA Exact Masses'!$Q$3-'Mass Ion Calculations'!$E$16-'Mass Ion Calculations'!$E10)/2-'Mass Ion Calculations'!$D$5)))</f>
        <v>-381.1081099999999</v>
      </c>
      <c r="O9" s="3">
        <f>IF(OR($B9="",O$3=""),"",IF('Mass Ion Calculations'!$D$6="Yes",IF('Mass Ion Calculations'!$D$7="Yes",('Mass Ion Calculations'!$D$18+'AA Exact Masses'!$Q$3+'AA Exact Masses'!$Q$3-'Mass Ion Calculations'!$C$17-'Mass Ion Calculations'!$C10)/2-'Mass Ion Calculations'!$D$5,('Mass Ion Calculations'!$F$18+'AA Exact Masses'!$Q$3+'AA Exact Masses'!$Q$3-'Mass Ion Calculations'!$E$17-'Mass Ion Calculations'!$E10)/2-'Mass Ion Calculations'!$D$5),IF('Mass Ion Calculations'!$D$7="Yes", ('Mass Ion Calculations'!$D$15+'AA Exact Masses'!$Q$3+'AA Exact Masses'!$Q$3-'Mass Ion Calculations'!$C$17-'Mass Ion Calculations'!$C10)/2-'Mass Ion Calculations'!$D$5,('Mass Ion Calculations'!$F$15+'AA Exact Masses'!$Q$3+'AA Exact Masses'!$Q$3-'Mass Ion Calculations'!$E$17-'Mass Ion Calculations'!$E10)/2-'Mass Ion Calculations'!$D$5)))</f>
        <v>-419.12375999999995</v>
      </c>
      <c r="P9" s="3">
        <f>IF(OR($B9="",P$3=""),"",IF('Mass Ion Calculations'!$D$6="Yes",IF('Mass Ion Calculations'!$D$7="Yes",('Mass Ion Calculations'!$D$18+'AA Exact Masses'!$Q$3+'AA Exact Masses'!$Q$3-'Mass Ion Calculations'!$C$18-'Mass Ion Calculations'!$C10)/2-'Mass Ion Calculations'!$D$5,('Mass Ion Calculations'!$F$18+'AA Exact Masses'!$Q$3+'AA Exact Masses'!$Q$3-'Mass Ion Calculations'!$E$18-'Mass Ion Calculations'!$E10)/2-'Mass Ion Calculations'!$D$5),IF('Mass Ion Calculations'!$D$7="Yes", ('Mass Ion Calculations'!$D$15+'AA Exact Masses'!$Q$3+'AA Exact Masses'!$Q$3-'Mass Ion Calculations'!$C$18-'Mass Ion Calculations'!$C10)/2-'Mass Ion Calculations'!$D$5,('Mass Ion Calculations'!$F$15+'AA Exact Masses'!$Q$3+'AA Exact Masses'!$Q$3-'Mass Ion Calculations'!$E$18-'Mass Ion Calculations'!$E10)/2-'Mass Ion Calculations'!$D$5)))</f>
        <v>-482.0720849999999</v>
      </c>
      <c r="Q9" s="3">
        <f>IF(OR($B9="",Q$3=""),"",IF('Mass Ion Calculations'!$D$6="Yes",IF('Mass Ion Calculations'!$D$7="Yes",('Mass Ion Calculations'!$D$18+'AA Exact Masses'!$Q$3+'AA Exact Masses'!$Q$3-'Mass Ion Calculations'!$C$19-'Mass Ion Calculations'!$C10)/2-'Mass Ion Calculations'!$D$5,('Mass Ion Calculations'!$F$18+'AA Exact Masses'!$Q$3+'AA Exact Masses'!$Q$3-'Mass Ion Calculations'!$E$19-'Mass Ion Calculations'!$E10)/2-'Mass Ion Calculations'!$D$5),IF('Mass Ion Calculations'!$D$7="Yes", ('Mass Ion Calculations'!$D$15+'AA Exact Masses'!$Q$3+'AA Exact Masses'!$Q$3-'Mass Ion Calculations'!$C$19-'Mass Ion Calculations'!$C10)/2-'Mass Ion Calculations'!$D$5,('Mass Ion Calculations'!$F$15+'AA Exact Masses'!$Q$3+'AA Exact Masses'!$Q$3-'Mass Ion Calculations'!$E$19-'Mass Ion Calculations'!$E10)/2-'Mass Ion Calculations'!$D$5)))</f>
        <v>-395.12375999999995</v>
      </c>
      <c r="R9" s="3">
        <f>IF(OR($B9="",R$3=""),"",IF('Mass Ion Calculations'!$D$6="Yes",IF('Mass Ion Calculations'!$D$7="Yes",('Mass Ion Calculations'!$D$18+'AA Exact Masses'!$Q$3+'AA Exact Masses'!$Q$3-'Mass Ion Calculations'!$C$20-'Mass Ion Calculations'!$C10)/2-'Mass Ion Calculations'!$D$5,('Mass Ion Calculations'!$F$18+'AA Exact Masses'!$Q$3+'AA Exact Masses'!$Q$3-'Mass Ion Calculations'!$E$20-'Mass Ion Calculations'!$E10)/2-'Mass Ion Calculations'!$D$5),IF('Mass Ion Calculations'!$D$7="Yes", ('Mass Ion Calculations'!$D$15+'AA Exact Masses'!$Q$3+'AA Exact Masses'!$Q$3-'Mass Ion Calculations'!$C$20-'Mass Ion Calculations'!$C10)/2-'Mass Ion Calculations'!$D$5,('Mass Ion Calculations'!$F$15+'AA Exact Masses'!$Q$3+'AA Exact Masses'!$Q$3-'Mass Ion Calculations'!$E$20-'Mass Ion Calculations'!$E10)/2-'Mass Ion Calculations'!$D$5)))</f>
        <v>-402.13158499999986</v>
      </c>
      <c r="S9" s="3" t="str">
        <f>IF(OR($B9="",S$3=""),"",IF('Mass Ion Calculations'!$D$6="Yes",IF('Mass Ion Calculations'!$D$7="Yes",('Mass Ion Calculations'!$D$18+'AA Exact Masses'!$Q$3+'AA Exact Masses'!$Q$3-'Mass Ion Calculations'!$C$21-'Mass Ion Calculations'!$C10)/2-'Mass Ion Calculations'!$D$5,('Mass Ion Calculations'!$F$18+'AA Exact Masses'!$Q$3+'AA Exact Masses'!$Q$3-'Mass Ion Calculations'!$E$21-'Mass Ion Calculations'!$E10)/2-'Mass Ion Calculations'!$D$5),IF('Mass Ion Calculations'!$D$7="Yes", ('Mass Ion Calculations'!$D$15+'AA Exact Masses'!$Q$3+'AA Exact Masses'!$Q$3-'Mass Ion Calculations'!$C$21-'Mass Ion Calculations'!$C10)/2-'Mass Ion Calculations'!$D$5,('Mass Ion Calculations'!$F$15+'AA Exact Masses'!$Q$3+'AA Exact Masses'!$Q$3-'Mass Ion Calculations'!$E$21-'Mass Ion Calculations'!$E10)/2-'Mass Ion Calculations'!$D$5)))</f>
        <v/>
      </c>
      <c r="T9" s="3" t="e">
        <f>IF(OR($B9="",T$3=""),"",IF('Mass Ion Calculations'!$D$6="Yes",IF('Mass Ion Calculations'!$D$7="Yes",('Mass Ion Calculations'!$D$18+'AA Exact Masses'!$Q$3+'AA Exact Masses'!$Q$3-'Mass Ion Calculations'!$C$22-'Mass Ion Calculations'!$C10)/2-'Mass Ion Calculations'!$D$5,('Mass Ion Calculations'!$F$18+'AA Exact Masses'!$Q$3+'AA Exact Masses'!$Q$3-'Mass Ion Calculations'!$E$22-'Mass Ion Calculations'!$E10)/2-'Mass Ion Calculations'!$D$5),IF('Mass Ion Calculations'!$D$7="Yes", ('Mass Ion Calculations'!$D$15+'AA Exact Masses'!$Q$3+'AA Exact Masses'!$Q$3-'Mass Ion Calculations'!$C$22-'Mass Ion Calculations'!$C10)/2-'Mass Ion Calculations'!$D$5,('Mass Ion Calculations'!$F$15+'AA Exact Masses'!$Q$3+'AA Exact Masses'!$Q$3-'Mass Ion Calculations'!$E$22-'Mass Ion Calculations'!$E10)/2-'Mass Ion Calculations'!$D$5)))</f>
        <v>#VALUE!</v>
      </c>
      <c r="U9" s="3" t="e">
        <f>IF(OR($B9="",U$3=""),"",IF('Mass Ion Calculations'!$D$6="Yes",IF('Mass Ion Calculations'!$D$7="Yes",('Mass Ion Calculations'!$D$18+'AA Exact Masses'!$Q$3+'AA Exact Masses'!$Q$3-'Mass Ion Calculations'!$C$23-'Mass Ion Calculations'!$C10)/2-'Mass Ion Calculations'!$D$5,('Mass Ion Calculations'!$F$18+'AA Exact Masses'!$Q$3+'AA Exact Masses'!$Q$3-'Mass Ion Calculations'!$E$23-'Mass Ion Calculations'!$E10)/2-'Mass Ion Calculations'!$D$5),IF('Mass Ion Calculations'!$D$7="Yes", ('Mass Ion Calculations'!$D$15+'AA Exact Masses'!$Q$3+'AA Exact Masses'!$Q$3-'Mass Ion Calculations'!$C$23-'Mass Ion Calculations'!$C10)/2-'Mass Ion Calculations'!$D$5,('Mass Ion Calculations'!$F$15+'AA Exact Masses'!$Q$3+'AA Exact Masses'!$Q$3-'Mass Ion Calculations'!$E$23-'Mass Ion Calculations'!$E10)/2-'Mass Ion Calculations'!$D$5)))</f>
        <v>#VALUE!</v>
      </c>
      <c r="V9" s="3" t="str">
        <f>IF(OR($B9="",V$3=""),"",IF('Mass Ion Calculations'!$D$6="Yes",IF('Mass Ion Calculations'!$D$7="Yes",('Mass Ion Calculations'!$D$18+'AA Exact Masses'!$Q$3+'AA Exact Masses'!$Q$3-'Mass Ion Calculations'!$C$24-'Mass Ion Calculations'!$C10)/2-'Mass Ion Calculations'!$D$5,('Mass Ion Calculations'!$F$18+'AA Exact Masses'!$Q$3+'AA Exact Masses'!$Q$3-'Mass Ion Calculations'!$E$24-'Mass Ion Calculations'!$E10)/2-'Mass Ion Calculations'!$D$5),IF('Mass Ion Calculations'!$D$7="Yes", ('Mass Ion Calculations'!$D$15+'AA Exact Masses'!$Q$3+'AA Exact Masses'!$Q$3-'Mass Ion Calculations'!$C$24-'Mass Ion Calculations'!$C10)/2-'Mass Ion Calculations'!$D$5,('Mass Ion Calculations'!$F$15+'AA Exact Masses'!$Q$3+'AA Exact Masses'!$Q$3-'Mass Ion Calculations'!$E$24-'Mass Ion Calculations'!$E10)/2-'Mass Ion Calculations'!$D$5)))</f>
        <v/>
      </c>
      <c r="W9" s="3" t="str">
        <f>IF(OR($B9="",W$3=""),"",IF('Mass Ion Calculations'!$D$6="Yes",IF('Mass Ion Calculations'!$D$7="Yes",('Mass Ion Calculations'!$D$18+'AA Exact Masses'!$Q$3+'AA Exact Masses'!$Q$3-'Mass Ion Calculations'!$C$25-'Mass Ion Calculations'!$C10)/2-'Mass Ion Calculations'!$D$5,('Mass Ion Calculations'!$F$18+'AA Exact Masses'!$Q$3+'AA Exact Masses'!$Q$3-'Mass Ion Calculations'!$E$25-'Mass Ion Calculations'!$E10)/2-'Mass Ion Calculations'!$D$5),IF('Mass Ion Calculations'!$D$7="Yes", ('Mass Ion Calculations'!$D$15+'AA Exact Masses'!$Q$3+'AA Exact Masses'!$Q$3-'Mass Ion Calculations'!$C$25-'Mass Ion Calculations'!$C10)/2-'Mass Ion Calculations'!$D$5,('Mass Ion Calculations'!$F$15+'AA Exact Masses'!$Q$3+'AA Exact Masses'!$Q$3-'Mass Ion Calculations'!$E$25-'Mass Ion Calculations'!$E10)/2-'Mass Ion Calculations'!$D$5)))</f>
        <v/>
      </c>
      <c r="X9" s="3" t="str">
        <f>IF(OR($B9="",X$3=""),"",IF('Mass Ion Calculations'!$D$6="Yes",IF('Mass Ion Calculations'!$D$7="Yes",('Mass Ion Calculations'!$D$18+'AA Exact Masses'!$Q$3+'AA Exact Masses'!$Q$3-'Mass Ion Calculations'!$C$26-'Mass Ion Calculations'!$C10)/2-'Mass Ion Calculations'!$D$5,('Mass Ion Calculations'!$F$18+'AA Exact Masses'!$Q$3+'AA Exact Masses'!$Q$3-'Mass Ion Calculations'!$E$26-'Mass Ion Calculations'!$E10)/2-'Mass Ion Calculations'!$D$5),IF('Mass Ion Calculations'!$D$7="Yes", ('Mass Ion Calculations'!$D$15+'AA Exact Masses'!$Q$3+'AA Exact Masses'!$Q$3-'Mass Ion Calculations'!$C$26-'Mass Ion Calculations'!$C10)/2-'Mass Ion Calculations'!$D$5,('Mass Ion Calculations'!$F$15+'AA Exact Masses'!$Q$3+'AA Exact Masses'!$Q$3-'Mass Ion Calculations'!$E$26-'Mass Ion Calculations'!$E10)/2-'Mass Ion Calculations'!$D$5)))</f>
        <v/>
      </c>
      <c r="Y9" s="3" t="str">
        <f>IF(OR($B9="",Y$3=""),"",IF('Mass Ion Calculations'!$D$6="Yes",IF('Mass Ion Calculations'!$D$7="Yes",('Mass Ion Calculations'!$D$18+'AA Exact Masses'!$Q$3+'AA Exact Masses'!$Q$3-'Mass Ion Calculations'!$C$27-'Mass Ion Calculations'!$C10)/2-'Mass Ion Calculations'!$D$5,('Mass Ion Calculations'!$F$18+'AA Exact Masses'!$Q$3+'AA Exact Masses'!$Q$3-'Mass Ion Calculations'!$E$27-'Mass Ion Calculations'!$E10)/2-'Mass Ion Calculations'!$D$5),IF('Mass Ion Calculations'!$D$7="Yes", ('Mass Ion Calculations'!$D$15+'AA Exact Masses'!$Q$3+'AA Exact Masses'!$Q$3-'Mass Ion Calculations'!$C$27-'Mass Ion Calculations'!$C10)/2-'Mass Ion Calculations'!$D$5,('Mass Ion Calculations'!$F$15+'AA Exact Masses'!$Q$3+'AA Exact Masses'!$Q$3-'Mass Ion Calculations'!$E$27-'Mass Ion Calculations'!$E10)/2-'Mass Ion Calculations'!$D$5)))</f>
        <v/>
      </c>
      <c r="Z9" s="3" t="str">
        <f>IF(OR($B9="",Z$3=""),"",IF('Mass Ion Calculations'!$D$6="Yes",IF('Mass Ion Calculations'!$D$7="Yes",('Mass Ion Calculations'!$D$18+'AA Exact Masses'!$Q$3+'AA Exact Masses'!$Q$3-'Mass Ion Calculations'!$C$28-'Mass Ion Calculations'!$C10)/2-'Mass Ion Calculations'!$D$5,('Mass Ion Calculations'!$F$18+'AA Exact Masses'!$Q$3+'AA Exact Masses'!$Q$3-'Mass Ion Calculations'!$E$28-'Mass Ion Calculations'!$E10)/2-'Mass Ion Calculations'!$D$5),IF('Mass Ion Calculations'!$D$7="Yes", ('Mass Ion Calculations'!$D$15+'AA Exact Masses'!$Q$3+'AA Exact Masses'!$Q$3-'Mass Ion Calculations'!$C$28-'Mass Ion Calculations'!$C10)/2-'Mass Ion Calculations'!$D$5,('Mass Ion Calculations'!$F$15+'AA Exact Masses'!$Q$3+'AA Exact Masses'!$Q$3-'Mass Ion Calculations'!$E$28-'Mass Ion Calculations'!$E10)/2-'Mass Ion Calculations'!$D$5)))</f>
        <v/>
      </c>
    </row>
    <row r="10" spans="2:26" x14ac:dyDescent="0.25">
      <c r="B10" s="4" t="str">
        <f>IF('Mass Ion Calculations'!B11="","", 'Mass Ion Calculations'!B11)</f>
        <v>Orn(Boc)</v>
      </c>
      <c r="C10" s="3">
        <f>IF(OR($B10="",C$3=""),"",IF('Mass Ion Calculations'!$D$6="Yes",IF('Mass Ion Calculations'!$D$7="Yes",('Mass Ion Calculations'!$D$18+'AA Exact Masses'!$Q$3+'AA Exact Masses'!$Q$3-'Mass Ion Calculations'!$C$5-'Mass Ion Calculations'!$C11)/2-'Mass Ion Calculations'!$D$5,('Mass Ion Calculations'!$F$18+'AA Exact Masses'!$Q$3+'AA Exact Masses'!$Q$3-'Mass Ion Calculations'!$E$5-'Mass Ion Calculations'!$E11)/2-'Mass Ion Calculations'!$D$5),IF('Mass Ion Calculations'!$D$7="Yes", ('Mass Ion Calculations'!$D$15+'AA Exact Masses'!$Q$3+'AA Exact Masses'!$Q$3-'Mass Ion Calculations'!$C$5-'Mass Ion Calculations'!$C11)/2-'Mass Ion Calculations'!$D$5,('Mass Ion Calculations'!$F$15+'AA Exact Masses'!$Q$3+'AA Exact Masses'!$Q$3-'Mass Ion Calculations'!$E$5-'Mass Ion Calculations'!$E11)/2-'Mass Ion Calculations'!$D$5)))</f>
        <v>-403.126845</v>
      </c>
      <c r="D10" s="3">
        <f>IF(OR($B10="",D$3=""),"",IF('Mass Ion Calculations'!$D$6="Yes",IF('Mass Ion Calculations'!$D$7="Yes",('Mass Ion Calculations'!$D$18+'AA Exact Masses'!$Q$3+'AA Exact Masses'!$Q$3-'Mass Ion Calculations'!$C$6-'Mass Ion Calculations'!$C11)/2-'Mass Ion Calculations'!$D$5,('Mass Ion Calculations'!$F$18+'AA Exact Masses'!$Q$3+'AA Exact Masses'!$Q$3-'Mass Ion Calculations'!$E$6-'Mass Ion Calculations'!$E11)/2-'Mass Ion Calculations'!$D$5),IF('Mass Ion Calculations'!$D$7="Yes", ('Mass Ion Calculations'!$D$15+'AA Exact Masses'!$Q$3+'AA Exact Masses'!$Q$3-'Mass Ion Calculations'!$C$6-'Mass Ion Calculations'!$C11)/2-'Mass Ion Calculations'!$D$5,('Mass Ion Calculations'!$F$15+'AA Exact Masses'!$Q$3+'AA Exact Masses'!$Q$3-'Mass Ion Calculations'!$E$6-'Mass Ion Calculations'!$E11)/2-'Mass Ion Calculations'!$D$5)))</f>
        <v>-381.60573999999997</v>
      </c>
      <c r="E10" s="3">
        <f>IF(OR($B10="",E$3=""),"",IF('Mass Ion Calculations'!$D$6="Yes",IF('Mass Ion Calculations'!$D$7="Yes",('Mass Ion Calculations'!$D$18+'AA Exact Masses'!$Q$3+'AA Exact Masses'!$Q$3-'Mass Ion Calculations'!$C$7-'Mass Ion Calculations'!$C11)/2-'Mass Ion Calculations'!$D$5,('Mass Ion Calculations'!$F$18+'AA Exact Masses'!$Q$3+'AA Exact Masses'!$Q$3-'Mass Ion Calculations'!$E$7-'Mass Ion Calculations'!$E11)/2-'Mass Ion Calculations'!$D$5),IF('Mass Ion Calculations'!$D$7="Yes", ('Mass Ion Calculations'!$D$15+'AA Exact Masses'!$Q$3+'AA Exact Masses'!$Q$3-'Mass Ion Calculations'!$C$7-'Mass Ion Calculations'!$C11)/2-'Mass Ion Calculations'!$D$5,('Mass Ion Calculations'!$F$15+'AA Exact Masses'!$Q$3+'AA Exact Masses'!$Q$3-'Mass Ion Calculations'!$E$7-'Mass Ion Calculations'!$E11)/2-'Mass Ion Calculations'!$D$5)))</f>
        <v>-402.62921499999993</v>
      </c>
      <c r="F10" s="3">
        <f>IF(OR($B10="",F$3=""),"",IF('Mass Ion Calculations'!$D$6="Yes",IF('Mass Ion Calculations'!$D$7="Yes",('Mass Ion Calculations'!$D$18+'AA Exact Masses'!$Q$3+'AA Exact Masses'!$Q$3-'Mass Ion Calculations'!$C$8-'Mass Ion Calculations'!$C11)/2-'Mass Ion Calculations'!$D$5,('Mass Ion Calculations'!$F$18+'AA Exact Masses'!$Q$3+'AA Exact Masses'!$Q$3-'Mass Ion Calculations'!$E$8-'Mass Ion Calculations'!$E11)/2-'Mass Ion Calculations'!$D$5),IF('Mass Ion Calculations'!$D$7="Yes", ('Mass Ion Calculations'!$D$15+'AA Exact Masses'!$Q$3+'AA Exact Masses'!$Q$3-'Mass Ion Calculations'!$C$8-'Mass Ion Calculations'!$C11)/2-'Mass Ion Calculations'!$D$5,('Mass Ion Calculations'!$F$15+'AA Exact Masses'!$Q$3+'AA Exact Masses'!$Q$3-'Mass Ion Calculations'!$E$8-'Mass Ion Calculations'!$E11)/2-'Mass Ion Calculations'!$D$5)))</f>
        <v>-402.62921499999993</v>
      </c>
      <c r="G10" s="3">
        <f>IF(OR($B10="",G$3=""),"",IF('Mass Ion Calculations'!$D$6="Yes",IF('Mass Ion Calculations'!$D$7="Yes",('Mass Ion Calculations'!$D$18+'AA Exact Masses'!$Q$3+'AA Exact Masses'!$Q$3-'Mass Ion Calculations'!$C$9-'Mass Ion Calculations'!$C11)/2-'Mass Ion Calculations'!$D$5,('Mass Ion Calculations'!$F$18+'AA Exact Masses'!$Q$3+'AA Exact Masses'!$Q$3-'Mass Ion Calculations'!$E$9-'Mass Ion Calculations'!$E11)/2-'Mass Ion Calculations'!$D$5),IF('Mass Ion Calculations'!$D$7="Yes", ('Mass Ion Calculations'!$D$15+'AA Exact Masses'!$Q$3+'AA Exact Masses'!$Q$3-'Mass Ion Calculations'!$C$9-'Mass Ion Calculations'!$C11)/2-'Mass Ion Calculations'!$D$5,('Mass Ion Calculations'!$F$15+'AA Exact Masses'!$Q$3+'AA Exact Masses'!$Q$3-'Mass Ion Calculations'!$E$9-'Mass Ion Calculations'!$E11)/2-'Mass Ion Calculations'!$D$5)))</f>
        <v>-381.60573999999997</v>
      </c>
      <c r="H10" s="3">
        <f>IF(OR($B10="",H$3=""),"",IF('Mass Ion Calculations'!$D$6="Yes",IF('Mass Ion Calculations'!$D$7="Yes",('Mass Ion Calculations'!$D$18+'AA Exact Masses'!$Q$3+'AA Exact Masses'!$Q$3-'Mass Ion Calculations'!$C$10-'Mass Ion Calculations'!$C11)/2-'Mass Ion Calculations'!$D$5,('Mass Ion Calculations'!$F$18+'AA Exact Masses'!$Q$3+'AA Exact Masses'!$Q$3-'Mass Ion Calculations'!$E$10-'Mass Ion Calculations'!$E11)/2-'Mass Ion Calculations'!$D$5),IF('Mass Ion Calculations'!$D$7="Yes", ('Mass Ion Calculations'!$D$15+'AA Exact Masses'!$Q$3+'AA Exact Masses'!$Q$3-'Mass Ion Calculations'!$C$10-'Mass Ion Calculations'!$C11)/2-'Mass Ion Calculations'!$D$5,('Mass Ion Calculations'!$F$15+'AA Exact Masses'!$Q$3+'AA Exact Masses'!$Q$3-'Mass Ion Calculations'!$E$10-'Mass Ion Calculations'!$E11)/2-'Mass Ion Calculations'!$D$5)))</f>
        <v>-402.62921499999993</v>
      </c>
      <c r="I10" s="3">
        <f>IF(OR($B10="",I$3=""),"",IF('Mass Ion Calculations'!$D$6="Yes",IF('Mass Ion Calculations'!$D$7="Yes",('Mass Ion Calculations'!$D$18+'AA Exact Masses'!$Q$3+'AA Exact Masses'!$Q$3-'Mass Ion Calculations'!$C$11-'Mass Ion Calculations'!$C11)/2-'Mass Ion Calculations'!$D$5,('Mass Ion Calculations'!$F$18+'AA Exact Masses'!$Q$3+'AA Exact Masses'!$Q$3-'Mass Ion Calculations'!$E$11-'Mass Ion Calculations'!$E11)/2-'Mass Ion Calculations'!$D$5),IF('Mass Ion Calculations'!$D$7="Yes", ('Mass Ion Calculations'!$D$15+'AA Exact Masses'!$Q$3+'AA Exact Masses'!$Q$3-'Mass Ion Calculations'!$C$11-'Mass Ion Calculations'!$C11)/2-'Mass Ion Calculations'!$D$5,('Mass Ion Calculations'!$F$15+'AA Exact Masses'!$Q$3+'AA Exact Masses'!$Q$3-'Mass Ion Calculations'!$E$11-'Mass Ion Calculations'!$E11)/2-'Mass Ion Calculations'!$D$5)))</f>
        <v>-403.126845</v>
      </c>
      <c r="J10" s="3">
        <f>IF(OR($B10="",J$3=""),"",IF('Mass Ion Calculations'!$D$6="Yes",IF('Mass Ion Calculations'!$D$7="Yes",('Mass Ion Calculations'!$D$18+'AA Exact Masses'!$Q$3+'AA Exact Masses'!$Q$3-'Mass Ion Calculations'!$C$12-'Mass Ion Calculations'!$C11)/2-'Mass Ion Calculations'!$D$5,('Mass Ion Calculations'!$F$18+'AA Exact Masses'!$Q$3+'AA Exact Masses'!$Q$3-'Mass Ion Calculations'!$E$12-'Mass Ion Calculations'!$E11)/2-'Mass Ion Calculations'!$D$5),IF('Mass Ion Calculations'!$D$7="Yes", ('Mass Ion Calculations'!$D$15+'AA Exact Masses'!$Q$3+'AA Exact Masses'!$Q$3-'Mass Ion Calculations'!$C$12-'Mass Ion Calculations'!$C11)/2-'Mass Ion Calculations'!$D$5,('Mass Ion Calculations'!$F$15+'AA Exact Masses'!$Q$3+'AA Exact Masses'!$Q$3-'Mass Ion Calculations'!$E$12-'Mass Ion Calculations'!$E11)/2-'Mass Ion Calculations'!$D$5)))</f>
        <v>-395.62139000000002</v>
      </c>
      <c r="K10" s="3">
        <f>IF(OR($B10="",K$3=""),"",IF('Mass Ion Calculations'!$D$6="Yes",IF('Mass Ion Calculations'!$D$7="Yes",('Mass Ion Calculations'!$D$18+'AA Exact Masses'!$Q$3+'AA Exact Masses'!$Q$3-'Mass Ion Calculations'!$C$13-'Mass Ion Calculations'!$C11)/2-'Mass Ion Calculations'!$D$5,('Mass Ion Calculations'!$F$18+'AA Exact Masses'!$Q$3+'AA Exact Masses'!$Q$3-'Mass Ion Calculations'!$E$13-'Mass Ion Calculations'!$E11)/2-'Mass Ion Calculations'!$D$5),IF('Mass Ion Calculations'!$D$7="Yes", ('Mass Ion Calculations'!$D$15+'AA Exact Masses'!$Q$3+'AA Exact Masses'!$Q$3-'Mass Ion Calculations'!$C$13-'Mass Ion Calculations'!$C11)/2-'Mass Ion Calculations'!$D$5,('Mass Ion Calculations'!$F$15+'AA Exact Masses'!$Q$3+'AA Exact Masses'!$Q$3-'Mass Ion Calculations'!$E$13-'Mass Ion Calculations'!$E11)/2-'Mass Ion Calculations'!$D$5)))</f>
        <v>-403.126845</v>
      </c>
      <c r="L10" s="3">
        <f>IF(OR($B10="",L$3=""),"",IF('Mass Ion Calculations'!$D$6="Yes",IF('Mass Ion Calculations'!$D$7="Yes",('Mass Ion Calculations'!$D$18+'AA Exact Masses'!$Q$3+'AA Exact Masses'!$Q$3-'Mass Ion Calculations'!$C$14-'Mass Ion Calculations'!$C11)/2-'Mass Ion Calculations'!$D$5,('Mass Ion Calculations'!$F$18+'AA Exact Masses'!$Q$3+'AA Exact Masses'!$Q$3-'Mass Ion Calculations'!$E$14-'Mass Ion Calculations'!$E11)/2-'Mass Ion Calculations'!$D$5),IF('Mass Ion Calculations'!$D$7="Yes", ('Mass Ion Calculations'!$D$15+'AA Exact Masses'!$Q$3+'AA Exact Masses'!$Q$3-'Mass Ion Calculations'!$C$14-'Mass Ion Calculations'!$C11)/2-'Mass Ion Calculations'!$D$5,('Mass Ion Calculations'!$F$15+'AA Exact Masses'!$Q$3+'AA Exact Masses'!$Q$3-'Mass Ion Calculations'!$E$14-'Mass Ion Calculations'!$E11)/2-'Mass Ion Calculations'!$D$5)))</f>
        <v>-410.60847999999999</v>
      </c>
      <c r="M10" s="3">
        <f>IF(OR($B10="",M$3=""),"",IF('Mass Ion Calculations'!$D$6="Yes",IF('Mass Ion Calculations'!$D$7="Yes",('Mass Ion Calculations'!$D$18+'AA Exact Masses'!$Q$3+'AA Exact Masses'!$Q$3-'Mass Ion Calculations'!$C$15-'Mass Ion Calculations'!$C11)/2-'Mass Ion Calculations'!$D$5,('Mass Ion Calculations'!$F$18+'AA Exact Masses'!$Q$3+'AA Exact Masses'!$Q$3-'Mass Ion Calculations'!$E$15-'Mass Ion Calculations'!$E11)/2-'Mass Ion Calculations'!$D$5),IF('Mass Ion Calculations'!$D$7="Yes", ('Mass Ion Calculations'!$D$15+'AA Exact Masses'!$Q$3+'AA Exact Masses'!$Q$3-'Mass Ion Calculations'!$C$15-'Mass Ion Calculations'!$C11)/2-'Mass Ion Calculations'!$D$5,('Mass Ion Calculations'!$F$15+'AA Exact Masses'!$Q$3+'AA Exact Masses'!$Q$3-'Mass Ion Calculations'!$E$15-'Mass Ion Calculations'!$E11)/2-'Mass Ion Calculations'!$D$5)))</f>
        <v>-403.60065499999996</v>
      </c>
      <c r="N10" s="3">
        <f>IF(OR($B10="",N$3=""),"",IF('Mass Ion Calculations'!$D$6="Yes",IF('Mass Ion Calculations'!$D$7="Yes",('Mass Ion Calculations'!$D$18+'AA Exact Masses'!$Q$3+'AA Exact Masses'!$Q$3-'Mass Ion Calculations'!$C$16-'Mass Ion Calculations'!$C11)/2-'Mass Ion Calculations'!$D$5,('Mass Ion Calculations'!$F$18+'AA Exact Masses'!$Q$3+'AA Exact Masses'!$Q$3-'Mass Ion Calculations'!$E$16-'Mass Ion Calculations'!$E11)/2-'Mass Ion Calculations'!$D$5),IF('Mass Ion Calculations'!$D$7="Yes", ('Mass Ion Calculations'!$D$15+'AA Exact Masses'!$Q$3+'AA Exact Masses'!$Q$3-'Mass Ion Calculations'!$C$16-'Mass Ion Calculations'!$C11)/2-'Mass Ion Calculations'!$D$5,('Mass Ion Calculations'!$F$15+'AA Exact Masses'!$Q$3+'AA Exact Masses'!$Q$3-'Mass Ion Calculations'!$E$16-'Mass Ion Calculations'!$E11)/2-'Mass Ion Calculations'!$D$5)))</f>
        <v>-381.60573999999997</v>
      </c>
      <c r="O10" s="3">
        <f>IF(OR($B10="",O$3=""),"",IF('Mass Ion Calculations'!$D$6="Yes",IF('Mass Ion Calculations'!$D$7="Yes",('Mass Ion Calculations'!$D$18+'AA Exact Masses'!$Q$3+'AA Exact Masses'!$Q$3-'Mass Ion Calculations'!$C$17-'Mass Ion Calculations'!$C11)/2-'Mass Ion Calculations'!$D$5,('Mass Ion Calculations'!$F$18+'AA Exact Masses'!$Q$3+'AA Exact Masses'!$Q$3-'Mass Ion Calculations'!$E$17-'Mass Ion Calculations'!$E11)/2-'Mass Ion Calculations'!$D$5),IF('Mass Ion Calculations'!$D$7="Yes", ('Mass Ion Calculations'!$D$15+'AA Exact Masses'!$Q$3+'AA Exact Masses'!$Q$3-'Mass Ion Calculations'!$C$17-'Mass Ion Calculations'!$C11)/2-'Mass Ion Calculations'!$D$5,('Mass Ion Calculations'!$F$15+'AA Exact Masses'!$Q$3+'AA Exact Masses'!$Q$3-'Mass Ion Calculations'!$E$17-'Mass Ion Calculations'!$E11)/2-'Mass Ion Calculations'!$D$5)))</f>
        <v>-419.62139000000002</v>
      </c>
      <c r="P10" s="3">
        <f>IF(OR($B10="",P$3=""),"",IF('Mass Ion Calculations'!$D$6="Yes",IF('Mass Ion Calculations'!$D$7="Yes",('Mass Ion Calculations'!$D$18+'AA Exact Masses'!$Q$3+'AA Exact Masses'!$Q$3-'Mass Ion Calculations'!$C$18-'Mass Ion Calculations'!$C11)/2-'Mass Ion Calculations'!$D$5,('Mass Ion Calculations'!$F$18+'AA Exact Masses'!$Q$3+'AA Exact Masses'!$Q$3-'Mass Ion Calculations'!$E$18-'Mass Ion Calculations'!$E11)/2-'Mass Ion Calculations'!$D$5),IF('Mass Ion Calculations'!$D$7="Yes", ('Mass Ion Calculations'!$D$15+'AA Exact Masses'!$Q$3+'AA Exact Masses'!$Q$3-'Mass Ion Calculations'!$C$18-'Mass Ion Calculations'!$C11)/2-'Mass Ion Calculations'!$D$5,('Mass Ion Calculations'!$F$15+'AA Exact Masses'!$Q$3+'AA Exact Masses'!$Q$3-'Mass Ion Calculations'!$E$18-'Mass Ion Calculations'!$E11)/2-'Mass Ion Calculations'!$D$5)))</f>
        <v>-482.56971499999997</v>
      </c>
      <c r="Q10" s="3">
        <f>IF(OR($B10="",Q$3=""),"",IF('Mass Ion Calculations'!$D$6="Yes",IF('Mass Ion Calculations'!$D$7="Yes",('Mass Ion Calculations'!$D$18+'AA Exact Masses'!$Q$3+'AA Exact Masses'!$Q$3-'Mass Ion Calculations'!$C$19-'Mass Ion Calculations'!$C11)/2-'Mass Ion Calculations'!$D$5,('Mass Ion Calculations'!$F$18+'AA Exact Masses'!$Q$3+'AA Exact Masses'!$Q$3-'Mass Ion Calculations'!$E$19-'Mass Ion Calculations'!$E11)/2-'Mass Ion Calculations'!$D$5),IF('Mass Ion Calculations'!$D$7="Yes", ('Mass Ion Calculations'!$D$15+'AA Exact Masses'!$Q$3+'AA Exact Masses'!$Q$3-'Mass Ion Calculations'!$C$19-'Mass Ion Calculations'!$C11)/2-'Mass Ion Calculations'!$D$5,('Mass Ion Calculations'!$F$15+'AA Exact Masses'!$Q$3+'AA Exact Masses'!$Q$3-'Mass Ion Calculations'!$E$19-'Mass Ion Calculations'!$E11)/2-'Mass Ion Calculations'!$D$5)))</f>
        <v>-395.62139000000002</v>
      </c>
      <c r="R10" s="3">
        <f>IF(OR($B10="",R$3=""),"",IF('Mass Ion Calculations'!$D$6="Yes",IF('Mass Ion Calculations'!$D$7="Yes",('Mass Ion Calculations'!$D$18+'AA Exact Masses'!$Q$3+'AA Exact Masses'!$Q$3-'Mass Ion Calculations'!$C$20-'Mass Ion Calculations'!$C11)/2-'Mass Ion Calculations'!$D$5,('Mass Ion Calculations'!$F$18+'AA Exact Masses'!$Q$3+'AA Exact Masses'!$Q$3-'Mass Ion Calculations'!$E$20-'Mass Ion Calculations'!$E11)/2-'Mass Ion Calculations'!$D$5),IF('Mass Ion Calculations'!$D$7="Yes", ('Mass Ion Calculations'!$D$15+'AA Exact Masses'!$Q$3+'AA Exact Masses'!$Q$3-'Mass Ion Calculations'!$C$20-'Mass Ion Calculations'!$C11)/2-'Mass Ion Calculations'!$D$5,('Mass Ion Calculations'!$F$15+'AA Exact Masses'!$Q$3+'AA Exact Masses'!$Q$3-'Mass Ion Calculations'!$E$20-'Mass Ion Calculations'!$E11)/2-'Mass Ion Calculations'!$D$5)))</f>
        <v>-402.62921499999993</v>
      </c>
      <c r="S10" s="3" t="str">
        <f>IF(OR($B10="",S$3=""),"",IF('Mass Ion Calculations'!$D$6="Yes",IF('Mass Ion Calculations'!$D$7="Yes",('Mass Ion Calculations'!$D$18+'AA Exact Masses'!$Q$3+'AA Exact Masses'!$Q$3-'Mass Ion Calculations'!$C$21-'Mass Ion Calculations'!$C11)/2-'Mass Ion Calculations'!$D$5,('Mass Ion Calculations'!$F$18+'AA Exact Masses'!$Q$3+'AA Exact Masses'!$Q$3-'Mass Ion Calculations'!$E$21-'Mass Ion Calculations'!$E11)/2-'Mass Ion Calculations'!$D$5),IF('Mass Ion Calculations'!$D$7="Yes", ('Mass Ion Calculations'!$D$15+'AA Exact Masses'!$Q$3+'AA Exact Masses'!$Q$3-'Mass Ion Calculations'!$C$21-'Mass Ion Calculations'!$C11)/2-'Mass Ion Calculations'!$D$5,('Mass Ion Calculations'!$F$15+'AA Exact Masses'!$Q$3+'AA Exact Masses'!$Q$3-'Mass Ion Calculations'!$E$21-'Mass Ion Calculations'!$E11)/2-'Mass Ion Calculations'!$D$5)))</f>
        <v/>
      </c>
      <c r="T10" s="3" t="e">
        <f>IF(OR($B10="",T$3=""),"",IF('Mass Ion Calculations'!$D$6="Yes",IF('Mass Ion Calculations'!$D$7="Yes",('Mass Ion Calculations'!$D$18+'AA Exact Masses'!$Q$3+'AA Exact Masses'!$Q$3-'Mass Ion Calculations'!$C$22-'Mass Ion Calculations'!$C11)/2-'Mass Ion Calculations'!$D$5,('Mass Ion Calculations'!$F$18+'AA Exact Masses'!$Q$3+'AA Exact Masses'!$Q$3-'Mass Ion Calculations'!$E$22-'Mass Ion Calculations'!$E11)/2-'Mass Ion Calculations'!$D$5),IF('Mass Ion Calculations'!$D$7="Yes", ('Mass Ion Calculations'!$D$15+'AA Exact Masses'!$Q$3+'AA Exact Masses'!$Q$3-'Mass Ion Calculations'!$C$22-'Mass Ion Calculations'!$C11)/2-'Mass Ion Calculations'!$D$5,('Mass Ion Calculations'!$F$15+'AA Exact Masses'!$Q$3+'AA Exact Masses'!$Q$3-'Mass Ion Calculations'!$E$22-'Mass Ion Calculations'!$E11)/2-'Mass Ion Calculations'!$D$5)))</f>
        <v>#VALUE!</v>
      </c>
      <c r="U10" s="3" t="e">
        <f>IF(OR($B10="",U$3=""),"",IF('Mass Ion Calculations'!$D$6="Yes",IF('Mass Ion Calculations'!$D$7="Yes",('Mass Ion Calculations'!$D$18+'AA Exact Masses'!$Q$3+'AA Exact Masses'!$Q$3-'Mass Ion Calculations'!$C$23-'Mass Ion Calculations'!$C11)/2-'Mass Ion Calculations'!$D$5,('Mass Ion Calculations'!$F$18+'AA Exact Masses'!$Q$3+'AA Exact Masses'!$Q$3-'Mass Ion Calculations'!$E$23-'Mass Ion Calculations'!$E11)/2-'Mass Ion Calculations'!$D$5),IF('Mass Ion Calculations'!$D$7="Yes", ('Mass Ion Calculations'!$D$15+'AA Exact Masses'!$Q$3+'AA Exact Masses'!$Q$3-'Mass Ion Calculations'!$C$23-'Mass Ion Calculations'!$C11)/2-'Mass Ion Calculations'!$D$5,('Mass Ion Calculations'!$F$15+'AA Exact Masses'!$Q$3+'AA Exact Masses'!$Q$3-'Mass Ion Calculations'!$E$23-'Mass Ion Calculations'!$E11)/2-'Mass Ion Calculations'!$D$5)))</f>
        <v>#VALUE!</v>
      </c>
      <c r="V10" s="3" t="str">
        <f>IF(OR($B10="",V$3=""),"",IF('Mass Ion Calculations'!$D$6="Yes",IF('Mass Ion Calculations'!$D$7="Yes",('Mass Ion Calculations'!$D$18+'AA Exact Masses'!$Q$3+'AA Exact Masses'!$Q$3-'Mass Ion Calculations'!$C$24-'Mass Ion Calculations'!$C11)/2-'Mass Ion Calculations'!$D$5,('Mass Ion Calculations'!$F$18+'AA Exact Masses'!$Q$3+'AA Exact Masses'!$Q$3-'Mass Ion Calculations'!$E$24-'Mass Ion Calculations'!$E11)/2-'Mass Ion Calculations'!$D$5),IF('Mass Ion Calculations'!$D$7="Yes", ('Mass Ion Calculations'!$D$15+'AA Exact Masses'!$Q$3+'AA Exact Masses'!$Q$3-'Mass Ion Calculations'!$C$24-'Mass Ion Calculations'!$C11)/2-'Mass Ion Calculations'!$D$5,('Mass Ion Calculations'!$F$15+'AA Exact Masses'!$Q$3+'AA Exact Masses'!$Q$3-'Mass Ion Calculations'!$E$24-'Mass Ion Calculations'!$E11)/2-'Mass Ion Calculations'!$D$5)))</f>
        <v/>
      </c>
      <c r="W10" s="3" t="str">
        <f>IF(OR($B10="",W$3=""),"",IF('Mass Ion Calculations'!$D$6="Yes",IF('Mass Ion Calculations'!$D$7="Yes",('Mass Ion Calculations'!$D$18+'AA Exact Masses'!$Q$3+'AA Exact Masses'!$Q$3-'Mass Ion Calculations'!$C$25-'Mass Ion Calculations'!$C11)/2-'Mass Ion Calculations'!$D$5,('Mass Ion Calculations'!$F$18+'AA Exact Masses'!$Q$3+'AA Exact Masses'!$Q$3-'Mass Ion Calculations'!$E$25-'Mass Ion Calculations'!$E11)/2-'Mass Ion Calculations'!$D$5),IF('Mass Ion Calculations'!$D$7="Yes", ('Mass Ion Calculations'!$D$15+'AA Exact Masses'!$Q$3+'AA Exact Masses'!$Q$3-'Mass Ion Calculations'!$C$25-'Mass Ion Calculations'!$C11)/2-'Mass Ion Calculations'!$D$5,('Mass Ion Calculations'!$F$15+'AA Exact Masses'!$Q$3+'AA Exact Masses'!$Q$3-'Mass Ion Calculations'!$E$25-'Mass Ion Calculations'!$E11)/2-'Mass Ion Calculations'!$D$5)))</f>
        <v/>
      </c>
      <c r="X10" s="3" t="str">
        <f>IF(OR($B10="",X$3=""),"",IF('Mass Ion Calculations'!$D$6="Yes",IF('Mass Ion Calculations'!$D$7="Yes",('Mass Ion Calculations'!$D$18+'AA Exact Masses'!$Q$3+'AA Exact Masses'!$Q$3-'Mass Ion Calculations'!$C$26-'Mass Ion Calculations'!$C11)/2-'Mass Ion Calculations'!$D$5,('Mass Ion Calculations'!$F$18+'AA Exact Masses'!$Q$3+'AA Exact Masses'!$Q$3-'Mass Ion Calculations'!$E$26-'Mass Ion Calculations'!$E11)/2-'Mass Ion Calculations'!$D$5),IF('Mass Ion Calculations'!$D$7="Yes", ('Mass Ion Calculations'!$D$15+'AA Exact Masses'!$Q$3+'AA Exact Masses'!$Q$3-'Mass Ion Calculations'!$C$26-'Mass Ion Calculations'!$C11)/2-'Mass Ion Calculations'!$D$5,('Mass Ion Calculations'!$F$15+'AA Exact Masses'!$Q$3+'AA Exact Masses'!$Q$3-'Mass Ion Calculations'!$E$26-'Mass Ion Calculations'!$E11)/2-'Mass Ion Calculations'!$D$5)))</f>
        <v/>
      </c>
      <c r="Y10" s="3" t="str">
        <f>IF(OR($B10="",Y$3=""),"",IF('Mass Ion Calculations'!$D$6="Yes",IF('Mass Ion Calculations'!$D$7="Yes",('Mass Ion Calculations'!$D$18+'AA Exact Masses'!$Q$3+'AA Exact Masses'!$Q$3-'Mass Ion Calculations'!$C$27-'Mass Ion Calculations'!$C11)/2-'Mass Ion Calculations'!$D$5,('Mass Ion Calculations'!$F$18+'AA Exact Masses'!$Q$3+'AA Exact Masses'!$Q$3-'Mass Ion Calculations'!$E$27-'Mass Ion Calculations'!$E11)/2-'Mass Ion Calculations'!$D$5),IF('Mass Ion Calculations'!$D$7="Yes", ('Mass Ion Calculations'!$D$15+'AA Exact Masses'!$Q$3+'AA Exact Masses'!$Q$3-'Mass Ion Calculations'!$C$27-'Mass Ion Calculations'!$C11)/2-'Mass Ion Calculations'!$D$5,('Mass Ion Calculations'!$F$15+'AA Exact Masses'!$Q$3+'AA Exact Masses'!$Q$3-'Mass Ion Calculations'!$E$27-'Mass Ion Calculations'!$E11)/2-'Mass Ion Calculations'!$D$5)))</f>
        <v/>
      </c>
      <c r="Z10" s="3" t="str">
        <f>IF(OR($B10="",Z$3=""),"",IF('Mass Ion Calculations'!$D$6="Yes",IF('Mass Ion Calculations'!$D$7="Yes",('Mass Ion Calculations'!$D$18+'AA Exact Masses'!$Q$3+'AA Exact Masses'!$Q$3-'Mass Ion Calculations'!$C$28-'Mass Ion Calculations'!$C11)/2-'Mass Ion Calculations'!$D$5,('Mass Ion Calculations'!$F$18+'AA Exact Masses'!$Q$3+'AA Exact Masses'!$Q$3-'Mass Ion Calculations'!$E$28-'Mass Ion Calculations'!$E11)/2-'Mass Ion Calculations'!$D$5),IF('Mass Ion Calculations'!$D$7="Yes", ('Mass Ion Calculations'!$D$15+'AA Exact Masses'!$Q$3+'AA Exact Masses'!$Q$3-'Mass Ion Calculations'!$C$28-'Mass Ion Calculations'!$C11)/2-'Mass Ion Calculations'!$D$5,('Mass Ion Calculations'!$F$15+'AA Exact Masses'!$Q$3+'AA Exact Masses'!$Q$3-'Mass Ion Calculations'!$E$28-'Mass Ion Calculations'!$E11)/2-'Mass Ion Calculations'!$D$5)))</f>
        <v/>
      </c>
    </row>
    <row r="11" spans="2:26" x14ac:dyDescent="0.25">
      <c r="B11" s="4" t="str">
        <f>IF('Mass Ion Calculations'!B12="","", 'Mass Ion Calculations'!B12)</f>
        <v>Val</v>
      </c>
      <c r="C11" s="3">
        <f>IF(OR($B11="",C$3=""),"",IF('Mass Ion Calculations'!$D$6="Yes",IF('Mass Ion Calculations'!$D$7="Yes",('Mass Ion Calculations'!$D$18+'AA Exact Masses'!$Q$3+'AA Exact Masses'!$Q$3-'Mass Ion Calculations'!$C$5-'Mass Ion Calculations'!$C12)/2-'Mass Ion Calculations'!$D$5,('Mass Ion Calculations'!$F$18+'AA Exact Masses'!$Q$3+'AA Exact Masses'!$Q$3-'Mass Ion Calculations'!$E$5-'Mass Ion Calculations'!$E12)/2-'Mass Ion Calculations'!$D$5),IF('Mass Ion Calculations'!$D$7="Yes", ('Mass Ion Calculations'!$D$15+'AA Exact Masses'!$Q$3+'AA Exact Masses'!$Q$3-'Mass Ion Calculations'!$C$5-'Mass Ion Calculations'!$C12)/2-'Mass Ion Calculations'!$D$5,('Mass Ion Calculations'!$F$15+'AA Exact Masses'!$Q$3+'AA Exact Masses'!$Q$3-'Mass Ion Calculations'!$E$5-'Mass Ion Calculations'!$E12)/2-'Mass Ion Calculations'!$D$5)))</f>
        <v>-395.62139000000002</v>
      </c>
      <c r="D11" s="3">
        <f>IF(OR($B11="",D$3=""),"",IF('Mass Ion Calculations'!$D$6="Yes",IF('Mass Ion Calculations'!$D$7="Yes",('Mass Ion Calculations'!$D$18+'AA Exact Masses'!$Q$3+'AA Exact Masses'!$Q$3-'Mass Ion Calculations'!$C$6-'Mass Ion Calculations'!$C12)/2-'Mass Ion Calculations'!$D$5,('Mass Ion Calculations'!$F$18+'AA Exact Masses'!$Q$3+'AA Exact Masses'!$Q$3-'Mass Ion Calculations'!$E$6-'Mass Ion Calculations'!$E12)/2-'Mass Ion Calculations'!$D$5),IF('Mass Ion Calculations'!$D$7="Yes", ('Mass Ion Calculations'!$D$15+'AA Exact Masses'!$Q$3+'AA Exact Masses'!$Q$3-'Mass Ion Calculations'!$C$6-'Mass Ion Calculations'!$C12)/2-'Mass Ion Calculations'!$D$5,('Mass Ion Calculations'!$F$15+'AA Exact Masses'!$Q$3+'AA Exact Masses'!$Q$3-'Mass Ion Calculations'!$E$6-'Mass Ion Calculations'!$E12)/2-'Mass Ion Calculations'!$D$5)))</f>
        <v>-374.10028499999999</v>
      </c>
      <c r="E11" s="3">
        <f>IF(OR($B11="",E$3=""),"",IF('Mass Ion Calculations'!$D$6="Yes",IF('Mass Ion Calculations'!$D$7="Yes",('Mass Ion Calculations'!$D$18+'AA Exact Masses'!$Q$3+'AA Exact Masses'!$Q$3-'Mass Ion Calculations'!$C$7-'Mass Ion Calculations'!$C12)/2-'Mass Ion Calculations'!$D$5,('Mass Ion Calculations'!$F$18+'AA Exact Masses'!$Q$3+'AA Exact Masses'!$Q$3-'Mass Ion Calculations'!$E$7-'Mass Ion Calculations'!$E12)/2-'Mass Ion Calculations'!$D$5),IF('Mass Ion Calculations'!$D$7="Yes", ('Mass Ion Calculations'!$D$15+'AA Exact Masses'!$Q$3+'AA Exact Masses'!$Q$3-'Mass Ion Calculations'!$C$7-'Mass Ion Calculations'!$C12)/2-'Mass Ion Calculations'!$D$5,('Mass Ion Calculations'!$F$15+'AA Exact Masses'!$Q$3+'AA Exact Masses'!$Q$3-'Mass Ion Calculations'!$E$7-'Mass Ion Calculations'!$E12)/2-'Mass Ion Calculations'!$D$5)))</f>
        <v>-395.12375999999995</v>
      </c>
      <c r="F11" s="3">
        <f>IF(OR($B11="",F$3=""),"",IF('Mass Ion Calculations'!$D$6="Yes",IF('Mass Ion Calculations'!$D$7="Yes",('Mass Ion Calculations'!$D$18+'AA Exact Masses'!$Q$3+'AA Exact Masses'!$Q$3-'Mass Ion Calculations'!$C$8-'Mass Ion Calculations'!$C12)/2-'Mass Ion Calculations'!$D$5,('Mass Ion Calculations'!$F$18+'AA Exact Masses'!$Q$3+'AA Exact Masses'!$Q$3-'Mass Ion Calculations'!$E$8-'Mass Ion Calculations'!$E12)/2-'Mass Ion Calculations'!$D$5),IF('Mass Ion Calculations'!$D$7="Yes", ('Mass Ion Calculations'!$D$15+'AA Exact Masses'!$Q$3+'AA Exact Masses'!$Q$3-'Mass Ion Calculations'!$C$8-'Mass Ion Calculations'!$C12)/2-'Mass Ion Calculations'!$D$5,('Mass Ion Calculations'!$F$15+'AA Exact Masses'!$Q$3+'AA Exact Masses'!$Q$3-'Mass Ion Calculations'!$E$8-'Mass Ion Calculations'!$E12)/2-'Mass Ion Calculations'!$D$5)))</f>
        <v>-395.12375999999995</v>
      </c>
      <c r="G11" s="3">
        <f>IF(OR($B11="",G$3=""),"",IF('Mass Ion Calculations'!$D$6="Yes",IF('Mass Ion Calculations'!$D$7="Yes",('Mass Ion Calculations'!$D$18+'AA Exact Masses'!$Q$3+'AA Exact Masses'!$Q$3-'Mass Ion Calculations'!$C$9-'Mass Ion Calculations'!$C12)/2-'Mass Ion Calculations'!$D$5,('Mass Ion Calculations'!$F$18+'AA Exact Masses'!$Q$3+'AA Exact Masses'!$Q$3-'Mass Ion Calculations'!$E$9-'Mass Ion Calculations'!$E12)/2-'Mass Ion Calculations'!$D$5),IF('Mass Ion Calculations'!$D$7="Yes", ('Mass Ion Calculations'!$D$15+'AA Exact Masses'!$Q$3+'AA Exact Masses'!$Q$3-'Mass Ion Calculations'!$C$9-'Mass Ion Calculations'!$C12)/2-'Mass Ion Calculations'!$D$5,('Mass Ion Calculations'!$F$15+'AA Exact Masses'!$Q$3+'AA Exact Masses'!$Q$3-'Mass Ion Calculations'!$E$9-'Mass Ion Calculations'!$E12)/2-'Mass Ion Calculations'!$D$5)))</f>
        <v>-374.10028499999999</v>
      </c>
      <c r="H11" s="3">
        <f>IF(OR($B11="",H$3=""),"",IF('Mass Ion Calculations'!$D$6="Yes",IF('Mass Ion Calculations'!$D$7="Yes",('Mass Ion Calculations'!$D$18+'AA Exact Masses'!$Q$3+'AA Exact Masses'!$Q$3-'Mass Ion Calculations'!$C$10-'Mass Ion Calculations'!$C12)/2-'Mass Ion Calculations'!$D$5,('Mass Ion Calculations'!$F$18+'AA Exact Masses'!$Q$3+'AA Exact Masses'!$Q$3-'Mass Ion Calculations'!$E$10-'Mass Ion Calculations'!$E12)/2-'Mass Ion Calculations'!$D$5),IF('Mass Ion Calculations'!$D$7="Yes", ('Mass Ion Calculations'!$D$15+'AA Exact Masses'!$Q$3+'AA Exact Masses'!$Q$3-'Mass Ion Calculations'!$C$10-'Mass Ion Calculations'!$C12)/2-'Mass Ion Calculations'!$D$5,('Mass Ion Calculations'!$F$15+'AA Exact Masses'!$Q$3+'AA Exact Masses'!$Q$3-'Mass Ion Calculations'!$E$10-'Mass Ion Calculations'!$E12)/2-'Mass Ion Calculations'!$D$5)))</f>
        <v>-395.12375999999995</v>
      </c>
      <c r="I11" s="3">
        <f>IF(OR($B11="",I$3=""),"",IF('Mass Ion Calculations'!$D$6="Yes",IF('Mass Ion Calculations'!$D$7="Yes",('Mass Ion Calculations'!$D$18+'AA Exact Masses'!$Q$3+'AA Exact Masses'!$Q$3-'Mass Ion Calculations'!$C$11-'Mass Ion Calculations'!$C12)/2-'Mass Ion Calculations'!$D$5,('Mass Ion Calculations'!$F$18+'AA Exact Masses'!$Q$3+'AA Exact Masses'!$Q$3-'Mass Ion Calculations'!$E$11-'Mass Ion Calculations'!$E12)/2-'Mass Ion Calculations'!$D$5),IF('Mass Ion Calculations'!$D$7="Yes", ('Mass Ion Calculations'!$D$15+'AA Exact Masses'!$Q$3+'AA Exact Masses'!$Q$3-'Mass Ion Calculations'!$C$11-'Mass Ion Calculations'!$C12)/2-'Mass Ion Calculations'!$D$5,('Mass Ion Calculations'!$F$15+'AA Exact Masses'!$Q$3+'AA Exact Masses'!$Q$3-'Mass Ion Calculations'!$E$11-'Mass Ion Calculations'!$E12)/2-'Mass Ion Calculations'!$D$5)))</f>
        <v>-395.62139000000002</v>
      </c>
      <c r="J11" s="3">
        <f>IF(OR($B11="",J$3=""),"",IF('Mass Ion Calculations'!$D$6="Yes",IF('Mass Ion Calculations'!$D$7="Yes",('Mass Ion Calculations'!$D$18+'AA Exact Masses'!$Q$3+'AA Exact Masses'!$Q$3-'Mass Ion Calculations'!$C$12-'Mass Ion Calculations'!$C12)/2-'Mass Ion Calculations'!$D$5,('Mass Ion Calculations'!$F$18+'AA Exact Masses'!$Q$3+'AA Exact Masses'!$Q$3-'Mass Ion Calculations'!$E$12-'Mass Ion Calculations'!$E12)/2-'Mass Ion Calculations'!$D$5),IF('Mass Ion Calculations'!$D$7="Yes", ('Mass Ion Calculations'!$D$15+'AA Exact Masses'!$Q$3+'AA Exact Masses'!$Q$3-'Mass Ion Calculations'!$C$12-'Mass Ion Calculations'!$C12)/2-'Mass Ion Calculations'!$D$5,('Mass Ion Calculations'!$F$15+'AA Exact Masses'!$Q$3+'AA Exact Masses'!$Q$3-'Mass Ion Calculations'!$E$12-'Mass Ion Calculations'!$E12)/2-'Mass Ion Calculations'!$D$5)))</f>
        <v>-388.11593500000004</v>
      </c>
      <c r="K11" s="3">
        <f>IF(OR($B11="",K$3=""),"",IF('Mass Ion Calculations'!$D$6="Yes",IF('Mass Ion Calculations'!$D$7="Yes",('Mass Ion Calculations'!$D$18+'AA Exact Masses'!$Q$3+'AA Exact Masses'!$Q$3-'Mass Ion Calculations'!$C$13-'Mass Ion Calculations'!$C12)/2-'Mass Ion Calculations'!$D$5,('Mass Ion Calculations'!$F$18+'AA Exact Masses'!$Q$3+'AA Exact Masses'!$Q$3-'Mass Ion Calculations'!$E$13-'Mass Ion Calculations'!$E12)/2-'Mass Ion Calculations'!$D$5),IF('Mass Ion Calculations'!$D$7="Yes", ('Mass Ion Calculations'!$D$15+'AA Exact Masses'!$Q$3+'AA Exact Masses'!$Q$3-'Mass Ion Calculations'!$C$13-'Mass Ion Calculations'!$C12)/2-'Mass Ion Calculations'!$D$5,('Mass Ion Calculations'!$F$15+'AA Exact Masses'!$Q$3+'AA Exact Masses'!$Q$3-'Mass Ion Calculations'!$E$13-'Mass Ion Calculations'!$E12)/2-'Mass Ion Calculations'!$D$5)))</f>
        <v>-395.62139000000002</v>
      </c>
      <c r="L11" s="3">
        <f>IF(OR($B11="",L$3=""),"",IF('Mass Ion Calculations'!$D$6="Yes",IF('Mass Ion Calculations'!$D$7="Yes",('Mass Ion Calculations'!$D$18+'AA Exact Masses'!$Q$3+'AA Exact Masses'!$Q$3-'Mass Ion Calculations'!$C$14-'Mass Ion Calculations'!$C12)/2-'Mass Ion Calculations'!$D$5,('Mass Ion Calculations'!$F$18+'AA Exact Masses'!$Q$3+'AA Exact Masses'!$Q$3-'Mass Ion Calculations'!$E$14-'Mass Ion Calculations'!$E12)/2-'Mass Ion Calculations'!$D$5),IF('Mass Ion Calculations'!$D$7="Yes", ('Mass Ion Calculations'!$D$15+'AA Exact Masses'!$Q$3+'AA Exact Masses'!$Q$3-'Mass Ion Calculations'!$C$14-'Mass Ion Calculations'!$C12)/2-'Mass Ion Calculations'!$D$5,('Mass Ion Calculations'!$F$15+'AA Exact Masses'!$Q$3+'AA Exact Masses'!$Q$3-'Mass Ion Calculations'!$E$14-'Mass Ion Calculations'!$E12)/2-'Mass Ion Calculations'!$D$5)))</f>
        <v>-403.103025</v>
      </c>
      <c r="M11" s="3">
        <f>IF(OR($B11="",M$3=""),"",IF('Mass Ion Calculations'!$D$6="Yes",IF('Mass Ion Calculations'!$D$7="Yes",('Mass Ion Calculations'!$D$18+'AA Exact Masses'!$Q$3+'AA Exact Masses'!$Q$3-'Mass Ion Calculations'!$C$15-'Mass Ion Calculations'!$C12)/2-'Mass Ion Calculations'!$D$5,('Mass Ion Calculations'!$F$18+'AA Exact Masses'!$Q$3+'AA Exact Masses'!$Q$3-'Mass Ion Calculations'!$E$15-'Mass Ion Calculations'!$E12)/2-'Mass Ion Calculations'!$D$5),IF('Mass Ion Calculations'!$D$7="Yes", ('Mass Ion Calculations'!$D$15+'AA Exact Masses'!$Q$3+'AA Exact Masses'!$Q$3-'Mass Ion Calculations'!$C$15-'Mass Ion Calculations'!$C12)/2-'Mass Ion Calculations'!$D$5,('Mass Ion Calculations'!$F$15+'AA Exact Masses'!$Q$3+'AA Exact Masses'!$Q$3-'Mass Ion Calculations'!$E$15-'Mass Ion Calculations'!$E12)/2-'Mass Ion Calculations'!$D$5)))</f>
        <v>-396.09519999999998</v>
      </c>
      <c r="N11" s="3">
        <f>IF(OR($B11="",N$3=""),"",IF('Mass Ion Calculations'!$D$6="Yes",IF('Mass Ion Calculations'!$D$7="Yes",('Mass Ion Calculations'!$D$18+'AA Exact Masses'!$Q$3+'AA Exact Masses'!$Q$3-'Mass Ion Calculations'!$C$16-'Mass Ion Calculations'!$C12)/2-'Mass Ion Calculations'!$D$5,('Mass Ion Calculations'!$F$18+'AA Exact Masses'!$Q$3+'AA Exact Masses'!$Q$3-'Mass Ion Calculations'!$E$16-'Mass Ion Calculations'!$E12)/2-'Mass Ion Calculations'!$D$5),IF('Mass Ion Calculations'!$D$7="Yes", ('Mass Ion Calculations'!$D$15+'AA Exact Masses'!$Q$3+'AA Exact Masses'!$Q$3-'Mass Ion Calculations'!$C$16-'Mass Ion Calculations'!$C12)/2-'Mass Ion Calculations'!$D$5,('Mass Ion Calculations'!$F$15+'AA Exact Masses'!$Q$3+'AA Exact Masses'!$Q$3-'Mass Ion Calculations'!$E$16-'Mass Ion Calculations'!$E12)/2-'Mass Ion Calculations'!$D$5)))</f>
        <v>-374.10028499999999</v>
      </c>
      <c r="O11" s="3">
        <f>IF(OR($B11="",O$3=""),"",IF('Mass Ion Calculations'!$D$6="Yes",IF('Mass Ion Calculations'!$D$7="Yes",('Mass Ion Calculations'!$D$18+'AA Exact Masses'!$Q$3+'AA Exact Masses'!$Q$3-'Mass Ion Calculations'!$C$17-'Mass Ion Calculations'!$C12)/2-'Mass Ion Calculations'!$D$5,('Mass Ion Calculations'!$F$18+'AA Exact Masses'!$Q$3+'AA Exact Masses'!$Q$3-'Mass Ion Calculations'!$E$17-'Mass Ion Calculations'!$E12)/2-'Mass Ion Calculations'!$D$5),IF('Mass Ion Calculations'!$D$7="Yes", ('Mass Ion Calculations'!$D$15+'AA Exact Masses'!$Q$3+'AA Exact Masses'!$Q$3-'Mass Ion Calculations'!$C$17-'Mass Ion Calculations'!$C12)/2-'Mass Ion Calculations'!$D$5,('Mass Ion Calculations'!$F$15+'AA Exact Masses'!$Q$3+'AA Exact Masses'!$Q$3-'Mass Ion Calculations'!$E$17-'Mass Ion Calculations'!$E12)/2-'Mass Ion Calculations'!$D$5)))</f>
        <v>-412.11593500000004</v>
      </c>
      <c r="P11" s="3">
        <f>IF(OR($B11="",P$3=""),"",IF('Mass Ion Calculations'!$D$6="Yes",IF('Mass Ion Calculations'!$D$7="Yes",('Mass Ion Calculations'!$D$18+'AA Exact Masses'!$Q$3+'AA Exact Masses'!$Q$3-'Mass Ion Calculations'!$C$18-'Mass Ion Calculations'!$C12)/2-'Mass Ion Calculations'!$D$5,('Mass Ion Calculations'!$F$18+'AA Exact Masses'!$Q$3+'AA Exact Masses'!$Q$3-'Mass Ion Calculations'!$E$18-'Mass Ion Calculations'!$E12)/2-'Mass Ion Calculations'!$D$5),IF('Mass Ion Calculations'!$D$7="Yes", ('Mass Ion Calculations'!$D$15+'AA Exact Masses'!$Q$3+'AA Exact Masses'!$Q$3-'Mass Ion Calculations'!$C$18-'Mass Ion Calculations'!$C12)/2-'Mass Ion Calculations'!$D$5,('Mass Ion Calculations'!$F$15+'AA Exact Masses'!$Q$3+'AA Exact Masses'!$Q$3-'Mass Ion Calculations'!$E$18-'Mass Ion Calculations'!$E12)/2-'Mass Ion Calculations'!$D$5)))</f>
        <v>-475.06425999999999</v>
      </c>
      <c r="Q11" s="3">
        <f>IF(OR($B11="",Q$3=""),"",IF('Mass Ion Calculations'!$D$6="Yes",IF('Mass Ion Calculations'!$D$7="Yes",('Mass Ion Calculations'!$D$18+'AA Exact Masses'!$Q$3+'AA Exact Masses'!$Q$3-'Mass Ion Calculations'!$C$19-'Mass Ion Calculations'!$C12)/2-'Mass Ion Calculations'!$D$5,('Mass Ion Calculations'!$F$18+'AA Exact Masses'!$Q$3+'AA Exact Masses'!$Q$3-'Mass Ion Calculations'!$E$19-'Mass Ion Calculations'!$E12)/2-'Mass Ion Calculations'!$D$5),IF('Mass Ion Calculations'!$D$7="Yes", ('Mass Ion Calculations'!$D$15+'AA Exact Masses'!$Q$3+'AA Exact Masses'!$Q$3-'Mass Ion Calculations'!$C$19-'Mass Ion Calculations'!$C12)/2-'Mass Ion Calculations'!$D$5,('Mass Ion Calculations'!$F$15+'AA Exact Masses'!$Q$3+'AA Exact Masses'!$Q$3-'Mass Ion Calculations'!$E$19-'Mass Ion Calculations'!$E12)/2-'Mass Ion Calculations'!$D$5)))</f>
        <v>-388.11593500000004</v>
      </c>
      <c r="R11" s="3">
        <f>IF(OR($B11="",R$3=""),"",IF('Mass Ion Calculations'!$D$6="Yes",IF('Mass Ion Calculations'!$D$7="Yes",('Mass Ion Calculations'!$D$18+'AA Exact Masses'!$Q$3+'AA Exact Masses'!$Q$3-'Mass Ion Calculations'!$C$20-'Mass Ion Calculations'!$C12)/2-'Mass Ion Calculations'!$D$5,('Mass Ion Calculations'!$F$18+'AA Exact Masses'!$Q$3+'AA Exact Masses'!$Q$3-'Mass Ion Calculations'!$E$20-'Mass Ion Calculations'!$E12)/2-'Mass Ion Calculations'!$D$5),IF('Mass Ion Calculations'!$D$7="Yes", ('Mass Ion Calculations'!$D$15+'AA Exact Masses'!$Q$3+'AA Exact Masses'!$Q$3-'Mass Ion Calculations'!$C$20-'Mass Ion Calculations'!$C12)/2-'Mass Ion Calculations'!$D$5,('Mass Ion Calculations'!$F$15+'AA Exact Masses'!$Q$3+'AA Exact Masses'!$Q$3-'Mass Ion Calculations'!$E$20-'Mass Ion Calculations'!$E12)/2-'Mass Ion Calculations'!$D$5)))</f>
        <v>-395.12375999999995</v>
      </c>
      <c r="S11" s="3" t="str">
        <f>IF(OR($B11="",S$3=""),"",IF('Mass Ion Calculations'!$D$6="Yes",IF('Mass Ion Calculations'!$D$7="Yes",('Mass Ion Calculations'!$D$18+'AA Exact Masses'!$Q$3+'AA Exact Masses'!$Q$3-'Mass Ion Calculations'!$C$21-'Mass Ion Calculations'!$C12)/2-'Mass Ion Calculations'!$D$5,('Mass Ion Calculations'!$F$18+'AA Exact Masses'!$Q$3+'AA Exact Masses'!$Q$3-'Mass Ion Calculations'!$E$21-'Mass Ion Calculations'!$E12)/2-'Mass Ion Calculations'!$D$5),IF('Mass Ion Calculations'!$D$7="Yes", ('Mass Ion Calculations'!$D$15+'AA Exact Masses'!$Q$3+'AA Exact Masses'!$Q$3-'Mass Ion Calculations'!$C$21-'Mass Ion Calculations'!$C12)/2-'Mass Ion Calculations'!$D$5,('Mass Ion Calculations'!$F$15+'AA Exact Masses'!$Q$3+'AA Exact Masses'!$Q$3-'Mass Ion Calculations'!$E$21-'Mass Ion Calculations'!$E12)/2-'Mass Ion Calculations'!$D$5)))</f>
        <v/>
      </c>
      <c r="T11" s="3" t="e">
        <f>IF(OR($B11="",T$3=""),"",IF('Mass Ion Calculations'!$D$6="Yes",IF('Mass Ion Calculations'!$D$7="Yes",('Mass Ion Calculations'!$D$18+'AA Exact Masses'!$Q$3+'AA Exact Masses'!$Q$3-'Mass Ion Calculations'!$C$22-'Mass Ion Calculations'!$C12)/2-'Mass Ion Calculations'!$D$5,('Mass Ion Calculations'!$F$18+'AA Exact Masses'!$Q$3+'AA Exact Masses'!$Q$3-'Mass Ion Calculations'!$E$22-'Mass Ion Calculations'!$E12)/2-'Mass Ion Calculations'!$D$5),IF('Mass Ion Calculations'!$D$7="Yes", ('Mass Ion Calculations'!$D$15+'AA Exact Masses'!$Q$3+'AA Exact Masses'!$Q$3-'Mass Ion Calculations'!$C$22-'Mass Ion Calculations'!$C12)/2-'Mass Ion Calculations'!$D$5,('Mass Ion Calculations'!$F$15+'AA Exact Masses'!$Q$3+'AA Exact Masses'!$Q$3-'Mass Ion Calculations'!$E$22-'Mass Ion Calculations'!$E12)/2-'Mass Ion Calculations'!$D$5)))</f>
        <v>#VALUE!</v>
      </c>
      <c r="U11" s="3" t="e">
        <f>IF(OR($B11="",U$3=""),"",IF('Mass Ion Calculations'!$D$6="Yes",IF('Mass Ion Calculations'!$D$7="Yes",('Mass Ion Calculations'!$D$18+'AA Exact Masses'!$Q$3+'AA Exact Masses'!$Q$3-'Mass Ion Calculations'!$C$23-'Mass Ion Calculations'!$C12)/2-'Mass Ion Calculations'!$D$5,('Mass Ion Calculations'!$F$18+'AA Exact Masses'!$Q$3+'AA Exact Masses'!$Q$3-'Mass Ion Calculations'!$E$23-'Mass Ion Calculations'!$E12)/2-'Mass Ion Calculations'!$D$5),IF('Mass Ion Calculations'!$D$7="Yes", ('Mass Ion Calculations'!$D$15+'AA Exact Masses'!$Q$3+'AA Exact Masses'!$Q$3-'Mass Ion Calculations'!$C$23-'Mass Ion Calculations'!$C12)/2-'Mass Ion Calculations'!$D$5,('Mass Ion Calculations'!$F$15+'AA Exact Masses'!$Q$3+'AA Exact Masses'!$Q$3-'Mass Ion Calculations'!$E$23-'Mass Ion Calculations'!$E12)/2-'Mass Ion Calculations'!$D$5)))</f>
        <v>#VALUE!</v>
      </c>
      <c r="V11" s="3" t="str">
        <f>IF(OR($B11="",V$3=""),"",IF('Mass Ion Calculations'!$D$6="Yes",IF('Mass Ion Calculations'!$D$7="Yes",('Mass Ion Calculations'!$D$18+'AA Exact Masses'!$Q$3+'AA Exact Masses'!$Q$3-'Mass Ion Calculations'!$C$24-'Mass Ion Calculations'!$C12)/2-'Mass Ion Calculations'!$D$5,('Mass Ion Calculations'!$F$18+'AA Exact Masses'!$Q$3+'AA Exact Masses'!$Q$3-'Mass Ion Calculations'!$E$24-'Mass Ion Calculations'!$E12)/2-'Mass Ion Calculations'!$D$5),IF('Mass Ion Calculations'!$D$7="Yes", ('Mass Ion Calculations'!$D$15+'AA Exact Masses'!$Q$3+'AA Exact Masses'!$Q$3-'Mass Ion Calculations'!$C$24-'Mass Ion Calculations'!$C12)/2-'Mass Ion Calculations'!$D$5,('Mass Ion Calculations'!$F$15+'AA Exact Masses'!$Q$3+'AA Exact Masses'!$Q$3-'Mass Ion Calculations'!$E$24-'Mass Ion Calculations'!$E12)/2-'Mass Ion Calculations'!$D$5)))</f>
        <v/>
      </c>
      <c r="W11" s="3" t="str">
        <f>IF(OR($B11="",W$3=""),"",IF('Mass Ion Calculations'!$D$6="Yes",IF('Mass Ion Calculations'!$D$7="Yes",('Mass Ion Calculations'!$D$18+'AA Exact Masses'!$Q$3+'AA Exact Masses'!$Q$3-'Mass Ion Calculations'!$C$25-'Mass Ion Calculations'!$C12)/2-'Mass Ion Calculations'!$D$5,('Mass Ion Calculations'!$F$18+'AA Exact Masses'!$Q$3+'AA Exact Masses'!$Q$3-'Mass Ion Calculations'!$E$25-'Mass Ion Calculations'!$E12)/2-'Mass Ion Calculations'!$D$5),IF('Mass Ion Calculations'!$D$7="Yes", ('Mass Ion Calculations'!$D$15+'AA Exact Masses'!$Q$3+'AA Exact Masses'!$Q$3-'Mass Ion Calculations'!$C$25-'Mass Ion Calculations'!$C12)/2-'Mass Ion Calculations'!$D$5,('Mass Ion Calculations'!$F$15+'AA Exact Masses'!$Q$3+'AA Exact Masses'!$Q$3-'Mass Ion Calculations'!$E$25-'Mass Ion Calculations'!$E12)/2-'Mass Ion Calculations'!$D$5)))</f>
        <v/>
      </c>
      <c r="X11" s="3" t="str">
        <f>IF(OR($B11="",X$3=""),"",IF('Mass Ion Calculations'!$D$6="Yes",IF('Mass Ion Calculations'!$D$7="Yes",('Mass Ion Calculations'!$D$18+'AA Exact Masses'!$Q$3+'AA Exact Masses'!$Q$3-'Mass Ion Calculations'!$C$26-'Mass Ion Calculations'!$C12)/2-'Mass Ion Calculations'!$D$5,('Mass Ion Calculations'!$F$18+'AA Exact Masses'!$Q$3+'AA Exact Masses'!$Q$3-'Mass Ion Calculations'!$E$26-'Mass Ion Calculations'!$E12)/2-'Mass Ion Calculations'!$D$5),IF('Mass Ion Calculations'!$D$7="Yes", ('Mass Ion Calculations'!$D$15+'AA Exact Masses'!$Q$3+'AA Exact Masses'!$Q$3-'Mass Ion Calculations'!$C$26-'Mass Ion Calculations'!$C12)/2-'Mass Ion Calculations'!$D$5,('Mass Ion Calculations'!$F$15+'AA Exact Masses'!$Q$3+'AA Exact Masses'!$Q$3-'Mass Ion Calculations'!$E$26-'Mass Ion Calculations'!$E12)/2-'Mass Ion Calculations'!$D$5)))</f>
        <v/>
      </c>
      <c r="Y11" s="3" t="str">
        <f>IF(OR($B11="",Y$3=""),"",IF('Mass Ion Calculations'!$D$6="Yes",IF('Mass Ion Calculations'!$D$7="Yes",('Mass Ion Calculations'!$D$18+'AA Exact Masses'!$Q$3+'AA Exact Masses'!$Q$3-'Mass Ion Calculations'!$C$27-'Mass Ion Calculations'!$C12)/2-'Mass Ion Calculations'!$D$5,('Mass Ion Calculations'!$F$18+'AA Exact Masses'!$Q$3+'AA Exact Masses'!$Q$3-'Mass Ion Calculations'!$E$27-'Mass Ion Calculations'!$E12)/2-'Mass Ion Calculations'!$D$5),IF('Mass Ion Calculations'!$D$7="Yes", ('Mass Ion Calculations'!$D$15+'AA Exact Masses'!$Q$3+'AA Exact Masses'!$Q$3-'Mass Ion Calculations'!$C$27-'Mass Ion Calculations'!$C12)/2-'Mass Ion Calculations'!$D$5,('Mass Ion Calculations'!$F$15+'AA Exact Masses'!$Q$3+'AA Exact Masses'!$Q$3-'Mass Ion Calculations'!$E$27-'Mass Ion Calculations'!$E12)/2-'Mass Ion Calculations'!$D$5)))</f>
        <v/>
      </c>
      <c r="Z11" s="3" t="str">
        <f>IF(OR($B11="",Z$3=""),"",IF('Mass Ion Calculations'!$D$6="Yes",IF('Mass Ion Calculations'!$D$7="Yes",('Mass Ion Calculations'!$D$18+'AA Exact Masses'!$Q$3+'AA Exact Masses'!$Q$3-'Mass Ion Calculations'!$C$28-'Mass Ion Calculations'!$C12)/2-'Mass Ion Calculations'!$D$5,('Mass Ion Calculations'!$F$18+'AA Exact Masses'!$Q$3+'AA Exact Masses'!$Q$3-'Mass Ion Calculations'!$E$28-'Mass Ion Calculations'!$E12)/2-'Mass Ion Calculations'!$D$5),IF('Mass Ion Calculations'!$D$7="Yes", ('Mass Ion Calculations'!$D$15+'AA Exact Masses'!$Q$3+'AA Exact Masses'!$Q$3-'Mass Ion Calculations'!$C$28-'Mass Ion Calculations'!$C12)/2-'Mass Ion Calculations'!$D$5,('Mass Ion Calculations'!$F$15+'AA Exact Masses'!$Q$3+'AA Exact Masses'!$Q$3-'Mass Ion Calculations'!$E$28-'Mass Ion Calculations'!$E12)/2-'Mass Ion Calculations'!$D$5)))</f>
        <v/>
      </c>
    </row>
    <row r="12" spans="2:26" x14ac:dyDescent="0.25">
      <c r="B12" s="4" t="str">
        <f>IF('Mass Ion Calculations'!B13="","", 'Mass Ion Calculations'!B13)</f>
        <v>Orn(Boc)</v>
      </c>
      <c r="C12" s="3">
        <f>IF(OR($B12="",C$3=""),"",IF('Mass Ion Calculations'!$D$6="Yes",IF('Mass Ion Calculations'!$D$7="Yes",('Mass Ion Calculations'!$D$18+'AA Exact Masses'!$Q$3+'AA Exact Masses'!$Q$3-'Mass Ion Calculations'!$C$5-'Mass Ion Calculations'!$C13)/2-'Mass Ion Calculations'!$D$5,('Mass Ion Calculations'!$F$18+'AA Exact Masses'!$Q$3+'AA Exact Masses'!$Q$3-'Mass Ion Calculations'!$E$5-'Mass Ion Calculations'!$E13)/2-'Mass Ion Calculations'!$D$5),IF('Mass Ion Calculations'!$D$7="Yes", ('Mass Ion Calculations'!$D$15+'AA Exact Masses'!$Q$3+'AA Exact Masses'!$Q$3-'Mass Ion Calculations'!$C$5-'Mass Ion Calculations'!$C13)/2-'Mass Ion Calculations'!$D$5,('Mass Ion Calculations'!$F$15+'AA Exact Masses'!$Q$3+'AA Exact Masses'!$Q$3-'Mass Ion Calculations'!$E$5-'Mass Ion Calculations'!$E13)/2-'Mass Ion Calculations'!$D$5)))</f>
        <v>-403.126845</v>
      </c>
      <c r="D12" s="3">
        <f>IF(OR($B12="",D$3=""),"",IF('Mass Ion Calculations'!$D$6="Yes",IF('Mass Ion Calculations'!$D$7="Yes",('Mass Ion Calculations'!$D$18+'AA Exact Masses'!$Q$3+'AA Exact Masses'!$Q$3-'Mass Ion Calculations'!$C$6-'Mass Ion Calculations'!$C13)/2-'Mass Ion Calculations'!$D$5,('Mass Ion Calculations'!$F$18+'AA Exact Masses'!$Q$3+'AA Exact Masses'!$Q$3-'Mass Ion Calculations'!$E$6-'Mass Ion Calculations'!$E13)/2-'Mass Ion Calculations'!$D$5),IF('Mass Ion Calculations'!$D$7="Yes", ('Mass Ion Calculations'!$D$15+'AA Exact Masses'!$Q$3+'AA Exact Masses'!$Q$3-'Mass Ion Calculations'!$C$6-'Mass Ion Calculations'!$C13)/2-'Mass Ion Calculations'!$D$5,('Mass Ion Calculations'!$F$15+'AA Exact Masses'!$Q$3+'AA Exact Masses'!$Q$3-'Mass Ion Calculations'!$E$6-'Mass Ion Calculations'!$E13)/2-'Mass Ion Calculations'!$D$5)))</f>
        <v>-381.60573999999997</v>
      </c>
      <c r="E12" s="3">
        <f>IF(OR($B12="",E$3=""),"",IF('Mass Ion Calculations'!$D$6="Yes",IF('Mass Ion Calculations'!$D$7="Yes",('Mass Ion Calculations'!$D$18+'AA Exact Masses'!$Q$3+'AA Exact Masses'!$Q$3-'Mass Ion Calculations'!$C$7-'Mass Ion Calculations'!$C13)/2-'Mass Ion Calculations'!$D$5,('Mass Ion Calculations'!$F$18+'AA Exact Masses'!$Q$3+'AA Exact Masses'!$Q$3-'Mass Ion Calculations'!$E$7-'Mass Ion Calculations'!$E13)/2-'Mass Ion Calculations'!$D$5),IF('Mass Ion Calculations'!$D$7="Yes", ('Mass Ion Calculations'!$D$15+'AA Exact Masses'!$Q$3+'AA Exact Masses'!$Q$3-'Mass Ion Calculations'!$C$7-'Mass Ion Calculations'!$C13)/2-'Mass Ion Calculations'!$D$5,('Mass Ion Calculations'!$F$15+'AA Exact Masses'!$Q$3+'AA Exact Masses'!$Q$3-'Mass Ion Calculations'!$E$7-'Mass Ion Calculations'!$E13)/2-'Mass Ion Calculations'!$D$5)))</f>
        <v>-402.62921499999993</v>
      </c>
      <c r="F12" s="3">
        <f>IF(OR($B12="",F$3=""),"",IF('Mass Ion Calculations'!$D$6="Yes",IF('Mass Ion Calculations'!$D$7="Yes",('Mass Ion Calculations'!$D$18+'AA Exact Masses'!$Q$3+'AA Exact Masses'!$Q$3-'Mass Ion Calculations'!$C$8-'Mass Ion Calculations'!$C13)/2-'Mass Ion Calculations'!$D$5,('Mass Ion Calculations'!$F$18+'AA Exact Masses'!$Q$3+'AA Exact Masses'!$Q$3-'Mass Ion Calculations'!$E$8-'Mass Ion Calculations'!$E13)/2-'Mass Ion Calculations'!$D$5),IF('Mass Ion Calculations'!$D$7="Yes", ('Mass Ion Calculations'!$D$15+'AA Exact Masses'!$Q$3+'AA Exact Masses'!$Q$3-'Mass Ion Calculations'!$C$8-'Mass Ion Calculations'!$C13)/2-'Mass Ion Calculations'!$D$5,('Mass Ion Calculations'!$F$15+'AA Exact Masses'!$Q$3+'AA Exact Masses'!$Q$3-'Mass Ion Calculations'!$E$8-'Mass Ion Calculations'!$E13)/2-'Mass Ion Calculations'!$D$5)))</f>
        <v>-402.62921499999993</v>
      </c>
      <c r="G12" s="3">
        <f>IF(OR($B12="",G$3=""),"",IF('Mass Ion Calculations'!$D$6="Yes",IF('Mass Ion Calculations'!$D$7="Yes",('Mass Ion Calculations'!$D$18+'AA Exact Masses'!$Q$3+'AA Exact Masses'!$Q$3-'Mass Ion Calculations'!$C$9-'Mass Ion Calculations'!$C13)/2-'Mass Ion Calculations'!$D$5,('Mass Ion Calculations'!$F$18+'AA Exact Masses'!$Q$3+'AA Exact Masses'!$Q$3-'Mass Ion Calculations'!$E$9-'Mass Ion Calculations'!$E13)/2-'Mass Ion Calculations'!$D$5),IF('Mass Ion Calculations'!$D$7="Yes", ('Mass Ion Calculations'!$D$15+'AA Exact Masses'!$Q$3+'AA Exact Masses'!$Q$3-'Mass Ion Calculations'!$C$9-'Mass Ion Calculations'!$C13)/2-'Mass Ion Calculations'!$D$5,('Mass Ion Calculations'!$F$15+'AA Exact Masses'!$Q$3+'AA Exact Masses'!$Q$3-'Mass Ion Calculations'!$E$9-'Mass Ion Calculations'!$E13)/2-'Mass Ion Calculations'!$D$5)))</f>
        <v>-381.60573999999997</v>
      </c>
      <c r="H12" s="3">
        <f>IF(OR($B12="",H$3=""),"",IF('Mass Ion Calculations'!$D$6="Yes",IF('Mass Ion Calculations'!$D$7="Yes",('Mass Ion Calculations'!$D$18+'AA Exact Masses'!$Q$3+'AA Exact Masses'!$Q$3-'Mass Ion Calculations'!$C$10-'Mass Ion Calculations'!$C13)/2-'Mass Ion Calculations'!$D$5,('Mass Ion Calculations'!$F$18+'AA Exact Masses'!$Q$3+'AA Exact Masses'!$Q$3-'Mass Ion Calculations'!$E$10-'Mass Ion Calculations'!$E13)/2-'Mass Ion Calculations'!$D$5),IF('Mass Ion Calculations'!$D$7="Yes", ('Mass Ion Calculations'!$D$15+'AA Exact Masses'!$Q$3+'AA Exact Masses'!$Q$3-'Mass Ion Calculations'!$C$10-'Mass Ion Calculations'!$C13)/2-'Mass Ion Calculations'!$D$5,('Mass Ion Calculations'!$F$15+'AA Exact Masses'!$Q$3+'AA Exact Masses'!$Q$3-'Mass Ion Calculations'!$E$10-'Mass Ion Calculations'!$E13)/2-'Mass Ion Calculations'!$D$5)))</f>
        <v>-402.62921499999993</v>
      </c>
      <c r="I12" s="3">
        <f>IF(OR($B12="",I$3=""),"",IF('Mass Ion Calculations'!$D$6="Yes",IF('Mass Ion Calculations'!$D$7="Yes",('Mass Ion Calculations'!$D$18+'AA Exact Masses'!$Q$3+'AA Exact Masses'!$Q$3-'Mass Ion Calculations'!$C$11-'Mass Ion Calculations'!$C13)/2-'Mass Ion Calculations'!$D$5,('Mass Ion Calculations'!$F$18+'AA Exact Masses'!$Q$3+'AA Exact Masses'!$Q$3-'Mass Ion Calculations'!$E$11-'Mass Ion Calculations'!$E13)/2-'Mass Ion Calculations'!$D$5),IF('Mass Ion Calculations'!$D$7="Yes", ('Mass Ion Calculations'!$D$15+'AA Exact Masses'!$Q$3+'AA Exact Masses'!$Q$3-'Mass Ion Calculations'!$C$11-'Mass Ion Calculations'!$C13)/2-'Mass Ion Calculations'!$D$5,('Mass Ion Calculations'!$F$15+'AA Exact Masses'!$Q$3+'AA Exact Masses'!$Q$3-'Mass Ion Calculations'!$E$11-'Mass Ion Calculations'!$E13)/2-'Mass Ion Calculations'!$D$5)))</f>
        <v>-403.126845</v>
      </c>
      <c r="J12" s="3">
        <f>IF(OR($B12="",J$3=""),"",IF('Mass Ion Calculations'!$D$6="Yes",IF('Mass Ion Calculations'!$D$7="Yes",('Mass Ion Calculations'!$D$18+'AA Exact Masses'!$Q$3+'AA Exact Masses'!$Q$3-'Mass Ion Calculations'!$C$12-'Mass Ion Calculations'!$C13)/2-'Mass Ion Calculations'!$D$5,('Mass Ion Calculations'!$F$18+'AA Exact Masses'!$Q$3+'AA Exact Masses'!$Q$3-'Mass Ion Calculations'!$E$12-'Mass Ion Calculations'!$E13)/2-'Mass Ion Calculations'!$D$5),IF('Mass Ion Calculations'!$D$7="Yes", ('Mass Ion Calculations'!$D$15+'AA Exact Masses'!$Q$3+'AA Exact Masses'!$Q$3-'Mass Ion Calculations'!$C$12-'Mass Ion Calculations'!$C13)/2-'Mass Ion Calculations'!$D$5,('Mass Ion Calculations'!$F$15+'AA Exact Masses'!$Q$3+'AA Exact Masses'!$Q$3-'Mass Ion Calculations'!$E$12-'Mass Ion Calculations'!$E13)/2-'Mass Ion Calculations'!$D$5)))</f>
        <v>-395.62139000000002</v>
      </c>
      <c r="K12" s="3">
        <f>IF(OR($B12="",K$3=""),"",IF('Mass Ion Calculations'!$D$6="Yes",IF('Mass Ion Calculations'!$D$7="Yes",('Mass Ion Calculations'!$D$18+'AA Exact Masses'!$Q$3+'AA Exact Masses'!$Q$3-'Mass Ion Calculations'!$C$13-'Mass Ion Calculations'!$C13)/2-'Mass Ion Calculations'!$D$5,('Mass Ion Calculations'!$F$18+'AA Exact Masses'!$Q$3+'AA Exact Masses'!$Q$3-'Mass Ion Calculations'!$E$13-'Mass Ion Calculations'!$E13)/2-'Mass Ion Calculations'!$D$5),IF('Mass Ion Calculations'!$D$7="Yes", ('Mass Ion Calculations'!$D$15+'AA Exact Masses'!$Q$3+'AA Exact Masses'!$Q$3-'Mass Ion Calculations'!$C$13-'Mass Ion Calculations'!$C13)/2-'Mass Ion Calculations'!$D$5,('Mass Ion Calculations'!$F$15+'AA Exact Masses'!$Q$3+'AA Exact Masses'!$Q$3-'Mass Ion Calculations'!$E$13-'Mass Ion Calculations'!$E13)/2-'Mass Ion Calculations'!$D$5)))</f>
        <v>-403.126845</v>
      </c>
      <c r="L12" s="3">
        <f>IF(OR($B12="",L$3=""),"",IF('Mass Ion Calculations'!$D$6="Yes",IF('Mass Ion Calculations'!$D$7="Yes",('Mass Ion Calculations'!$D$18+'AA Exact Masses'!$Q$3+'AA Exact Masses'!$Q$3-'Mass Ion Calculations'!$C$14-'Mass Ion Calculations'!$C13)/2-'Mass Ion Calculations'!$D$5,('Mass Ion Calculations'!$F$18+'AA Exact Masses'!$Q$3+'AA Exact Masses'!$Q$3-'Mass Ion Calculations'!$E$14-'Mass Ion Calculations'!$E13)/2-'Mass Ion Calculations'!$D$5),IF('Mass Ion Calculations'!$D$7="Yes", ('Mass Ion Calculations'!$D$15+'AA Exact Masses'!$Q$3+'AA Exact Masses'!$Q$3-'Mass Ion Calculations'!$C$14-'Mass Ion Calculations'!$C13)/2-'Mass Ion Calculations'!$D$5,('Mass Ion Calculations'!$F$15+'AA Exact Masses'!$Q$3+'AA Exact Masses'!$Q$3-'Mass Ion Calculations'!$E$14-'Mass Ion Calculations'!$E13)/2-'Mass Ion Calculations'!$D$5)))</f>
        <v>-410.60847999999999</v>
      </c>
      <c r="M12" s="3">
        <f>IF(OR($B12="",M$3=""),"",IF('Mass Ion Calculations'!$D$6="Yes",IF('Mass Ion Calculations'!$D$7="Yes",('Mass Ion Calculations'!$D$18+'AA Exact Masses'!$Q$3+'AA Exact Masses'!$Q$3-'Mass Ion Calculations'!$C$15-'Mass Ion Calculations'!$C13)/2-'Mass Ion Calculations'!$D$5,('Mass Ion Calculations'!$F$18+'AA Exact Masses'!$Q$3+'AA Exact Masses'!$Q$3-'Mass Ion Calculations'!$E$15-'Mass Ion Calculations'!$E13)/2-'Mass Ion Calculations'!$D$5),IF('Mass Ion Calculations'!$D$7="Yes", ('Mass Ion Calculations'!$D$15+'AA Exact Masses'!$Q$3+'AA Exact Masses'!$Q$3-'Mass Ion Calculations'!$C$15-'Mass Ion Calculations'!$C13)/2-'Mass Ion Calculations'!$D$5,('Mass Ion Calculations'!$F$15+'AA Exact Masses'!$Q$3+'AA Exact Masses'!$Q$3-'Mass Ion Calculations'!$E$15-'Mass Ion Calculations'!$E13)/2-'Mass Ion Calculations'!$D$5)))</f>
        <v>-403.60065499999996</v>
      </c>
      <c r="N12" s="3">
        <f>IF(OR($B12="",N$3=""),"",IF('Mass Ion Calculations'!$D$6="Yes",IF('Mass Ion Calculations'!$D$7="Yes",('Mass Ion Calculations'!$D$18+'AA Exact Masses'!$Q$3+'AA Exact Masses'!$Q$3-'Mass Ion Calculations'!$C$16-'Mass Ion Calculations'!$C13)/2-'Mass Ion Calculations'!$D$5,('Mass Ion Calculations'!$F$18+'AA Exact Masses'!$Q$3+'AA Exact Masses'!$Q$3-'Mass Ion Calculations'!$E$16-'Mass Ion Calculations'!$E13)/2-'Mass Ion Calculations'!$D$5),IF('Mass Ion Calculations'!$D$7="Yes", ('Mass Ion Calculations'!$D$15+'AA Exact Masses'!$Q$3+'AA Exact Masses'!$Q$3-'Mass Ion Calculations'!$C$16-'Mass Ion Calculations'!$C13)/2-'Mass Ion Calculations'!$D$5,('Mass Ion Calculations'!$F$15+'AA Exact Masses'!$Q$3+'AA Exact Masses'!$Q$3-'Mass Ion Calculations'!$E$16-'Mass Ion Calculations'!$E13)/2-'Mass Ion Calculations'!$D$5)))</f>
        <v>-381.60573999999997</v>
      </c>
      <c r="O12" s="3">
        <f>IF(OR($B12="",O$3=""),"",IF('Mass Ion Calculations'!$D$6="Yes",IF('Mass Ion Calculations'!$D$7="Yes",('Mass Ion Calculations'!$D$18+'AA Exact Masses'!$Q$3+'AA Exact Masses'!$Q$3-'Mass Ion Calculations'!$C$17-'Mass Ion Calculations'!$C13)/2-'Mass Ion Calculations'!$D$5,('Mass Ion Calculations'!$F$18+'AA Exact Masses'!$Q$3+'AA Exact Masses'!$Q$3-'Mass Ion Calculations'!$E$17-'Mass Ion Calculations'!$E13)/2-'Mass Ion Calculations'!$D$5),IF('Mass Ion Calculations'!$D$7="Yes", ('Mass Ion Calculations'!$D$15+'AA Exact Masses'!$Q$3+'AA Exact Masses'!$Q$3-'Mass Ion Calculations'!$C$17-'Mass Ion Calculations'!$C13)/2-'Mass Ion Calculations'!$D$5,('Mass Ion Calculations'!$F$15+'AA Exact Masses'!$Q$3+'AA Exact Masses'!$Q$3-'Mass Ion Calculations'!$E$17-'Mass Ion Calculations'!$E13)/2-'Mass Ion Calculations'!$D$5)))</f>
        <v>-419.62139000000002</v>
      </c>
      <c r="P12" s="3">
        <f>IF(OR($B12="",P$3=""),"",IF('Mass Ion Calculations'!$D$6="Yes",IF('Mass Ion Calculations'!$D$7="Yes",('Mass Ion Calculations'!$D$18+'AA Exact Masses'!$Q$3+'AA Exact Masses'!$Q$3-'Mass Ion Calculations'!$C$18-'Mass Ion Calculations'!$C13)/2-'Mass Ion Calculations'!$D$5,('Mass Ion Calculations'!$F$18+'AA Exact Masses'!$Q$3+'AA Exact Masses'!$Q$3-'Mass Ion Calculations'!$E$18-'Mass Ion Calculations'!$E13)/2-'Mass Ion Calculations'!$D$5),IF('Mass Ion Calculations'!$D$7="Yes", ('Mass Ion Calculations'!$D$15+'AA Exact Masses'!$Q$3+'AA Exact Masses'!$Q$3-'Mass Ion Calculations'!$C$18-'Mass Ion Calculations'!$C13)/2-'Mass Ion Calculations'!$D$5,('Mass Ion Calculations'!$F$15+'AA Exact Masses'!$Q$3+'AA Exact Masses'!$Q$3-'Mass Ion Calculations'!$E$18-'Mass Ion Calculations'!$E13)/2-'Mass Ion Calculations'!$D$5)))</f>
        <v>-482.56971499999997</v>
      </c>
      <c r="Q12" s="3">
        <f>IF(OR($B12="",Q$3=""),"",IF('Mass Ion Calculations'!$D$6="Yes",IF('Mass Ion Calculations'!$D$7="Yes",('Mass Ion Calculations'!$D$18+'AA Exact Masses'!$Q$3+'AA Exact Masses'!$Q$3-'Mass Ion Calculations'!$C$19-'Mass Ion Calculations'!$C13)/2-'Mass Ion Calculations'!$D$5,('Mass Ion Calculations'!$F$18+'AA Exact Masses'!$Q$3+'AA Exact Masses'!$Q$3-'Mass Ion Calculations'!$E$19-'Mass Ion Calculations'!$E13)/2-'Mass Ion Calculations'!$D$5),IF('Mass Ion Calculations'!$D$7="Yes", ('Mass Ion Calculations'!$D$15+'AA Exact Masses'!$Q$3+'AA Exact Masses'!$Q$3-'Mass Ion Calculations'!$C$19-'Mass Ion Calculations'!$C13)/2-'Mass Ion Calculations'!$D$5,('Mass Ion Calculations'!$F$15+'AA Exact Masses'!$Q$3+'AA Exact Masses'!$Q$3-'Mass Ion Calculations'!$E$19-'Mass Ion Calculations'!$E13)/2-'Mass Ion Calculations'!$D$5)))</f>
        <v>-395.62139000000002</v>
      </c>
      <c r="R12" s="3">
        <f>IF(OR($B12="",R$3=""),"",IF('Mass Ion Calculations'!$D$6="Yes",IF('Mass Ion Calculations'!$D$7="Yes",('Mass Ion Calculations'!$D$18+'AA Exact Masses'!$Q$3+'AA Exact Masses'!$Q$3-'Mass Ion Calculations'!$C$20-'Mass Ion Calculations'!$C13)/2-'Mass Ion Calculations'!$D$5,('Mass Ion Calculations'!$F$18+'AA Exact Masses'!$Q$3+'AA Exact Masses'!$Q$3-'Mass Ion Calculations'!$E$20-'Mass Ion Calculations'!$E13)/2-'Mass Ion Calculations'!$D$5),IF('Mass Ion Calculations'!$D$7="Yes", ('Mass Ion Calculations'!$D$15+'AA Exact Masses'!$Q$3+'AA Exact Masses'!$Q$3-'Mass Ion Calculations'!$C$20-'Mass Ion Calculations'!$C13)/2-'Mass Ion Calculations'!$D$5,('Mass Ion Calculations'!$F$15+'AA Exact Masses'!$Q$3+'AA Exact Masses'!$Q$3-'Mass Ion Calculations'!$E$20-'Mass Ion Calculations'!$E13)/2-'Mass Ion Calculations'!$D$5)))</f>
        <v>-402.62921499999993</v>
      </c>
      <c r="S12" s="3" t="str">
        <f>IF(OR($B12="",S$3=""),"",IF('Mass Ion Calculations'!$D$6="Yes",IF('Mass Ion Calculations'!$D$7="Yes",('Mass Ion Calculations'!$D$18+'AA Exact Masses'!$Q$3+'AA Exact Masses'!$Q$3-'Mass Ion Calculations'!$C$21-'Mass Ion Calculations'!$C13)/2-'Mass Ion Calculations'!$D$5,('Mass Ion Calculations'!$F$18+'AA Exact Masses'!$Q$3+'AA Exact Masses'!$Q$3-'Mass Ion Calculations'!$E$21-'Mass Ion Calculations'!$E13)/2-'Mass Ion Calculations'!$D$5),IF('Mass Ion Calculations'!$D$7="Yes", ('Mass Ion Calculations'!$D$15+'AA Exact Masses'!$Q$3+'AA Exact Masses'!$Q$3-'Mass Ion Calculations'!$C$21-'Mass Ion Calculations'!$C13)/2-'Mass Ion Calculations'!$D$5,('Mass Ion Calculations'!$F$15+'AA Exact Masses'!$Q$3+'AA Exact Masses'!$Q$3-'Mass Ion Calculations'!$E$21-'Mass Ion Calculations'!$E13)/2-'Mass Ion Calculations'!$D$5)))</f>
        <v/>
      </c>
      <c r="T12" s="3" t="e">
        <f>IF(OR($B12="",T$3=""),"",IF('Mass Ion Calculations'!$D$6="Yes",IF('Mass Ion Calculations'!$D$7="Yes",('Mass Ion Calculations'!$D$18+'AA Exact Masses'!$Q$3+'AA Exact Masses'!$Q$3-'Mass Ion Calculations'!$C$22-'Mass Ion Calculations'!$C13)/2-'Mass Ion Calculations'!$D$5,('Mass Ion Calculations'!$F$18+'AA Exact Masses'!$Q$3+'AA Exact Masses'!$Q$3-'Mass Ion Calculations'!$E$22-'Mass Ion Calculations'!$E13)/2-'Mass Ion Calculations'!$D$5),IF('Mass Ion Calculations'!$D$7="Yes", ('Mass Ion Calculations'!$D$15+'AA Exact Masses'!$Q$3+'AA Exact Masses'!$Q$3-'Mass Ion Calculations'!$C$22-'Mass Ion Calculations'!$C13)/2-'Mass Ion Calculations'!$D$5,('Mass Ion Calculations'!$F$15+'AA Exact Masses'!$Q$3+'AA Exact Masses'!$Q$3-'Mass Ion Calculations'!$E$22-'Mass Ion Calculations'!$E13)/2-'Mass Ion Calculations'!$D$5)))</f>
        <v>#VALUE!</v>
      </c>
      <c r="U12" s="3" t="e">
        <f>IF(OR($B12="",U$3=""),"",IF('Mass Ion Calculations'!$D$6="Yes",IF('Mass Ion Calculations'!$D$7="Yes",('Mass Ion Calculations'!$D$18+'AA Exact Masses'!$Q$3+'AA Exact Masses'!$Q$3-'Mass Ion Calculations'!$C$23-'Mass Ion Calculations'!$C13)/2-'Mass Ion Calculations'!$D$5,('Mass Ion Calculations'!$F$18+'AA Exact Masses'!$Q$3+'AA Exact Masses'!$Q$3-'Mass Ion Calculations'!$E$23-'Mass Ion Calculations'!$E13)/2-'Mass Ion Calculations'!$D$5),IF('Mass Ion Calculations'!$D$7="Yes", ('Mass Ion Calculations'!$D$15+'AA Exact Masses'!$Q$3+'AA Exact Masses'!$Q$3-'Mass Ion Calculations'!$C$23-'Mass Ion Calculations'!$C13)/2-'Mass Ion Calculations'!$D$5,('Mass Ion Calculations'!$F$15+'AA Exact Masses'!$Q$3+'AA Exact Masses'!$Q$3-'Mass Ion Calculations'!$E$23-'Mass Ion Calculations'!$E13)/2-'Mass Ion Calculations'!$D$5)))</f>
        <v>#VALUE!</v>
      </c>
      <c r="V12" s="3" t="str">
        <f>IF(OR($B12="",V$3=""),"",IF('Mass Ion Calculations'!$D$6="Yes",IF('Mass Ion Calculations'!$D$7="Yes",('Mass Ion Calculations'!$D$18+'AA Exact Masses'!$Q$3+'AA Exact Masses'!$Q$3-'Mass Ion Calculations'!$C$24-'Mass Ion Calculations'!$C13)/2-'Mass Ion Calculations'!$D$5,('Mass Ion Calculations'!$F$18+'AA Exact Masses'!$Q$3+'AA Exact Masses'!$Q$3-'Mass Ion Calculations'!$E$24-'Mass Ion Calculations'!$E13)/2-'Mass Ion Calculations'!$D$5),IF('Mass Ion Calculations'!$D$7="Yes", ('Mass Ion Calculations'!$D$15+'AA Exact Masses'!$Q$3+'AA Exact Masses'!$Q$3-'Mass Ion Calculations'!$C$24-'Mass Ion Calculations'!$C13)/2-'Mass Ion Calculations'!$D$5,('Mass Ion Calculations'!$F$15+'AA Exact Masses'!$Q$3+'AA Exact Masses'!$Q$3-'Mass Ion Calculations'!$E$24-'Mass Ion Calculations'!$E13)/2-'Mass Ion Calculations'!$D$5)))</f>
        <v/>
      </c>
      <c r="W12" s="3" t="str">
        <f>IF(OR($B12="",W$3=""),"",IF('Mass Ion Calculations'!$D$6="Yes",IF('Mass Ion Calculations'!$D$7="Yes",('Mass Ion Calculations'!$D$18+'AA Exact Masses'!$Q$3+'AA Exact Masses'!$Q$3-'Mass Ion Calculations'!$C$25-'Mass Ion Calculations'!$C13)/2-'Mass Ion Calculations'!$D$5,('Mass Ion Calculations'!$F$18+'AA Exact Masses'!$Q$3+'AA Exact Masses'!$Q$3-'Mass Ion Calculations'!$E$25-'Mass Ion Calculations'!$E13)/2-'Mass Ion Calculations'!$D$5),IF('Mass Ion Calculations'!$D$7="Yes", ('Mass Ion Calculations'!$D$15+'AA Exact Masses'!$Q$3+'AA Exact Masses'!$Q$3-'Mass Ion Calculations'!$C$25-'Mass Ion Calculations'!$C13)/2-'Mass Ion Calculations'!$D$5,('Mass Ion Calculations'!$F$15+'AA Exact Masses'!$Q$3+'AA Exact Masses'!$Q$3-'Mass Ion Calculations'!$E$25-'Mass Ion Calculations'!$E13)/2-'Mass Ion Calculations'!$D$5)))</f>
        <v/>
      </c>
      <c r="X12" s="3" t="str">
        <f>IF(OR($B12="",X$3=""),"",IF('Mass Ion Calculations'!$D$6="Yes",IF('Mass Ion Calculations'!$D$7="Yes",('Mass Ion Calculations'!$D$18+'AA Exact Masses'!$Q$3+'AA Exact Masses'!$Q$3-'Mass Ion Calculations'!$C$26-'Mass Ion Calculations'!$C13)/2-'Mass Ion Calculations'!$D$5,('Mass Ion Calculations'!$F$18+'AA Exact Masses'!$Q$3+'AA Exact Masses'!$Q$3-'Mass Ion Calculations'!$E$26-'Mass Ion Calculations'!$E13)/2-'Mass Ion Calculations'!$D$5),IF('Mass Ion Calculations'!$D$7="Yes", ('Mass Ion Calculations'!$D$15+'AA Exact Masses'!$Q$3+'AA Exact Masses'!$Q$3-'Mass Ion Calculations'!$C$26-'Mass Ion Calculations'!$C13)/2-'Mass Ion Calculations'!$D$5,('Mass Ion Calculations'!$F$15+'AA Exact Masses'!$Q$3+'AA Exact Masses'!$Q$3-'Mass Ion Calculations'!$E$26-'Mass Ion Calculations'!$E13)/2-'Mass Ion Calculations'!$D$5)))</f>
        <v/>
      </c>
      <c r="Y12" s="3" t="str">
        <f>IF(OR($B12="",Y$3=""),"",IF('Mass Ion Calculations'!$D$6="Yes",IF('Mass Ion Calculations'!$D$7="Yes",('Mass Ion Calculations'!$D$18+'AA Exact Masses'!$Q$3+'AA Exact Masses'!$Q$3-'Mass Ion Calculations'!$C$27-'Mass Ion Calculations'!$C13)/2-'Mass Ion Calculations'!$D$5,('Mass Ion Calculations'!$F$18+'AA Exact Masses'!$Q$3+'AA Exact Masses'!$Q$3-'Mass Ion Calculations'!$E$27-'Mass Ion Calculations'!$E13)/2-'Mass Ion Calculations'!$D$5),IF('Mass Ion Calculations'!$D$7="Yes", ('Mass Ion Calculations'!$D$15+'AA Exact Masses'!$Q$3+'AA Exact Masses'!$Q$3-'Mass Ion Calculations'!$C$27-'Mass Ion Calculations'!$C13)/2-'Mass Ion Calculations'!$D$5,('Mass Ion Calculations'!$F$15+'AA Exact Masses'!$Q$3+'AA Exact Masses'!$Q$3-'Mass Ion Calculations'!$E$27-'Mass Ion Calculations'!$E13)/2-'Mass Ion Calculations'!$D$5)))</f>
        <v/>
      </c>
      <c r="Z12" s="3" t="str">
        <f>IF(OR($B12="",Z$3=""),"",IF('Mass Ion Calculations'!$D$6="Yes",IF('Mass Ion Calculations'!$D$7="Yes",('Mass Ion Calculations'!$D$18+'AA Exact Masses'!$Q$3+'AA Exact Masses'!$Q$3-'Mass Ion Calculations'!$C$28-'Mass Ion Calculations'!$C13)/2-'Mass Ion Calculations'!$D$5,('Mass Ion Calculations'!$F$18+'AA Exact Masses'!$Q$3+'AA Exact Masses'!$Q$3-'Mass Ion Calculations'!$E$28-'Mass Ion Calculations'!$E13)/2-'Mass Ion Calculations'!$D$5),IF('Mass Ion Calculations'!$D$7="Yes", ('Mass Ion Calculations'!$D$15+'AA Exact Masses'!$Q$3+'AA Exact Masses'!$Q$3-'Mass Ion Calculations'!$C$28-'Mass Ion Calculations'!$C13)/2-'Mass Ion Calculations'!$D$5,('Mass Ion Calculations'!$F$15+'AA Exact Masses'!$Q$3+'AA Exact Masses'!$Q$3-'Mass Ion Calculations'!$E$28-'Mass Ion Calculations'!$E13)/2-'Mass Ion Calculations'!$D$5)))</f>
        <v/>
      </c>
    </row>
    <row r="13" spans="2:26" x14ac:dyDescent="0.25">
      <c r="B13" s="4" t="str">
        <f>IF('Mass Ion Calculations'!B14="","", 'Mass Ion Calculations'!B14)</f>
        <v>Glu(OtBu)</v>
      </c>
      <c r="C13" s="3">
        <f>IF(OR($B13="",C$3=""),"",IF('Mass Ion Calculations'!$D$6="Yes",IF('Mass Ion Calculations'!$D$7="Yes",('Mass Ion Calculations'!$D$18+'AA Exact Masses'!$Q$3+'AA Exact Masses'!$Q$3-'Mass Ion Calculations'!$C$5-'Mass Ion Calculations'!$C14)/2-'Mass Ion Calculations'!$D$5,('Mass Ion Calculations'!$F$18+'AA Exact Masses'!$Q$3+'AA Exact Masses'!$Q$3-'Mass Ion Calculations'!$E$5-'Mass Ion Calculations'!$E14)/2-'Mass Ion Calculations'!$D$5),IF('Mass Ion Calculations'!$D$7="Yes", ('Mass Ion Calculations'!$D$15+'AA Exact Masses'!$Q$3+'AA Exact Masses'!$Q$3-'Mass Ion Calculations'!$C$5-'Mass Ion Calculations'!$C14)/2-'Mass Ion Calculations'!$D$5,('Mass Ion Calculations'!$F$15+'AA Exact Masses'!$Q$3+'AA Exact Masses'!$Q$3-'Mass Ion Calculations'!$E$5-'Mass Ion Calculations'!$E14)/2-'Mass Ion Calculations'!$D$5)))</f>
        <v>-410.60847999999999</v>
      </c>
      <c r="D13" s="3">
        <f>IF(OR($B13="",D$3=""),"",IF('Mass Ion Calculations'!$D$6="Yes",IF('Mass Ion Calculations'!$D$7="Yes",('Mass Ion Calculations'!$D$18+'AA Exact Masses'!$Q$3+'AA Exact Masses'!$Q$3-'Mass Ion Calculations'!$C$6-'Mass Ion Calculations'!$C14)/2-'Mass Ion Calculations'!$D$5,('Mass Ion Calculations'!$F$18+'AA Exact Masses'!$Q$3+'AA Exact Masses'!$Q$3-'Mass Ion Calculations'!$E$6-'Mass Ion Calculations'!$E14)/2-'Mass Ion Calculations'!$D$5),IF('Mass Ion Calculations'!$D$7="Yes", ('Mass Ion Calculations'!$D$15+'AA Exact Masses'!$Q$3+'AA Exact Masses'!$Q$3-'Mass Ion Calculations'!$C$6-'Mass Ion Calculations'!$C14)/2-'Mass Ion Calculations'!$D$5,('Mass Ion Calculations'!$F$15+'AA Exact Masses'!$Q$3+'AA Exact Masses'!$Q$3-'Mass Ion Calculations'!$E$6-'Mass Ion Calculations'!$E14)/2-'Mass Ion Calculations'!$D$5)))</f>
        <v>-389.08737499999995</v>
      </c>
      <c r="E13" s="3">
        <f>IF(OR($B13="",E$3=""),"",IF('Mass Ion Calculations'!$D$6="Yes",IF('Mass Ion Calculations'!$D$7="Yes",('Mass Ion Calculations'!$D$18+'AA Exact Masses'!$Q$3+'AA Exact Masses'!$Q$3-'Mass Ion Calculations'!$C$7-'Mass Ion Calculations'!$C14)/2-'Mass Ion Calculations'!$D$5,('Mass Ion Calculations'!$F$18+'AA Exact Masses'!$Q$3+'AA Exact Masses'!$Q$3-'Mass Ion Calculations'!$E$7-'Mass Ion Calculations'!$E14)/2-'Mass Ion Calculations'!$D$5),IF('Mass Ion Calculations'!$D$7="Yes", ('Mass Ion Calculations'!$D$15+'AA Exact Masses'!$Q$3+'AA Exact Masses'!$Q$3-'Mass Ion Calculations'!$C$7-'Mass Ion Calculations'!$C14)/2-'Mass Ion Calculations'!$D$5,('Mass Ion Calculations'!$F$15+'AA Exact Masses'!$Q$3+'AA Exact Masses'!$Q$3-'Mass Ion Calculations'!$E$7-'Mass Ion Calculations'!$E14)/2-'Mass Ion Calculations'!$D$5)))</f>
        <v>-410.11084999999991</v>
      </c>
      <c r="F13" s="3">
        <f>IF(OR($B13="",F$3=""),"",IF('Mass Ion Calculations'!$D$6="Yes",IF('Mass Ion Calculations'!$D$7="Yes",('Mass Ion Calculations'!$D$18+'AA Exact Masses'!$Q$3+'AA Exact Masses'!$Q$3-'Mass Ion Calculations'!$C$8-'Mass Ion Calculations'!$C14)/2-'Mass Ion Calculations'!$D$5,('Mass Ion Calculations'!$F$18+'AA Exact Masses'!$Q$3+'AA Exact Masses'!$Q$3-'Mass Ion Calculations'!$E$8-'Mass Ion Calculations'!$E14)/2-'Mass Ion Calculations'!$D$5),IF('Mass Ion Calculations'!$D$7="Yes", ('Mass Ion Calculations'!$D$15+'AA Exact Masses'!$Q$3+'AA Exact Masses'!$Q$3-'Mass Ion Calculations'!$C$8-'Mass Ion Calculations'!$C14)/2-'Mass Ion Calculations'!$D$5,('Mass Ion Calculations'!$F$15+'AA Exact Masses'!$Q$3+'AA Exact Masses'!$Q$3-'Mass Ion Calculations'!$E$8-'Mass Ion Calculations'!$E14)/2-'Mass Ion Calculations'!$D$5)))</f>
        <v>-410.11084999999991</v>
      </c>
      <c r="G13" s="3">
        <f>IF(OR($B13="",G$3=""),"",IF('Mass Ion Calculations'!$D$6="Yes",IF('Mass Ion Calculations'!$D$7="Yes",('Mass Ion Calculations'!$D$18+'AA Exact Masses'!$Q$3+'AA Exact Masses'!$Q$3-'Mass Ion Calculations'!$C$9-'Mass Ion Calculations'!$C14)/2-'Mass Ion Calculations'!$D$5,('Mass Ion Calculations'!$F$18+'AA Exact Masses'!$Q$3+'AA Exact Masses'!$Q$3-'Mass Ion Calculations'!$E$9-'Mass Ion Calculations'!$E14)/2-'Mass Ion Calculations'!$D$5),IF('Mass Ion Calculations'!$D$7="Yes", ('Mass Ion Calculations'!$D$15+'AA Exact Masses'!$Q$3+'AA Exact Masses'!$Q$3-'Mass Ion Calculations'!$C$9-'Mass Ion Calculations'!$C14)/2-'Mass Ion Calculations'!$D$5,('Mass Ion Calculations'!$F$15+'AA Exact Masses'!$Q$3+'AA Exact Masses'!$Q$3-'Mass Ion Calculations'!$E$9-'Mass Ion Calculations'!$E14)/2-'Mass Ion Calculations'!$D$5)))</f>
        <v>-389.08737499999995</v>
      </c>
      <c r="H13" s="3">
        <f>IF(OR($B13="",H$3=""),"",IF('Mass Ion Calculations'!$D$6="Yes",IF('Mass Ion Calculations'!$D$7="Yes",('Mass Ion Calculations'!$D$18+'AA Exact Masses'!$Q$3+'AA Exact Masses'!$Q$3-'Mass Ion Calculations'!$C$10-'Mass Ion Calculations'!$C14)/2-'Mass Ion Calculations'!$D$5,('Mass Ion Calculations'!$F$18+'AA Exact Masses'!$Q$3+'AA Exact Masses'!$Q$3-'Mass Ion Calculations'!$E$10-'Mass Ion Calculations'!$E14)/2-'Mass Ion Calculations'!$D$5),IF('Mass Ion Calculations'!$D$7="Yes", ('Mass Ion Calculations'!$D$15+'AA Exact Masses'!$Q$3+'AA Exact Masses'!$Q$3-'Mass Ion Calculations'!$C$10-'Mass Ion Calculations'!$C14)/2-'Mass Ion Calculations'!$D$5,('Mass Ion Calculations'!$F$15+'AA Exact Masses'!$Q$3+'AA Exact Masses'!$Q$3-'Mass Ion Calculations'!$E$10-'Mass Ion Calculations'!$E14)/2-'Mass Ion Calculations'!$D$5)))</f>
        <v>-410.11084999999991</v>
      </c>
      <c r="I13" s="3">
        <f>IF(OR($B13="",I$3=""),"",IF('Mass Ion Calculations'!$D$6="Yes",IF('Mass Ion Calculations'!$D$7="Yes",('Mass Ion Calculations'!$D$18+'AA Exact Masses'!$Q$3+'AA Exact Masses'!$Q$3-'Mass Ion Calculations'!$C$11-'Mass Ion Calculations'!$C14)/2-'Mass Ion Calculations'!$D$5,('Mass Ion Calculations'!$F$18+'AA Exact Masses'!$Q$3+'AA Exact Masses'!$Q$3-'Mass Ion Calculations'!$E$11-'Mass Ion Calculations'!$E14)/2-'Mass Ion Calculations'!$D$5),IF('Mass Ion Calculations'!$D$7="Yes", ('Mass Ion Calculations'!$D$15+'AA Exact Masses'!$Q$3+'AA Exact Masses'!$Q$3-'Mass Ion Calculations'!$C$11-'Mass Ion Calculations'!$C14)/2-'Mass Ion Calculations'!$D$5,('Mass Ion Calculations'!$F$15+'AA Exact Masses'!$Q$3+'AA Exact Masses'!$Q$3-'Mass Ion Calculations'!$E$11-'Mass Ion Calculations'!$E14)/2-'Mass Ion Calculations'!$D$5)))</f>
        <v>-410.60847999999999</v>
      </c>
      <c r="J13" s="3">
        <f>IF(OR($B13="",J$3=""),"",IF('Mass Ion Calculations'!$D$6="Yes",IF('Mass Ion Calculations'!$D$7="Yes",('Mass Ion Calculations'!$D$18+'AA Exact Masses'!$Q$3+'AA Exact Masses'!$Q$3-'Mass Ion Calculations'!$C$12-'Mass Ion Calculations'!$C14)/2-'Mass Ion Calculations'!$D$5,('Mass Ion Calculations'!$F$18+'AA Exact Masses'!$Q$3+'AA Exact Masses'!$Q$3-'Mass Ion Calculations'!$E$12-'Mass Ion Calculations'!$E14)/2-'Mass Ion Calculations'!$D$5),IF('Mass Ion Calculations'!$D$7="Yes", ('Mass Ion Calculations'!$D$15+'AA Exact Masses'!$Q$3+'AA Exact Masses'!$Q$3-'Mass Ion Calculations'!$C$12-'Mass Ion Calculations'!$C14)/2-'Mass Ion Calculations'!$D$5,('Mass Ion Calculations'!$F$15+'AA Exact Masses'!$Q$3+'AA Exact Masses'!$Q$3-'Mass Ion Calculations'!$E$12-'Mass Ion Calculations'!$E14)/2-'Mass Ion Calculations'!$D$5)))</f>
        <v>-403.103025</v>
      </c>
      <c r="K13" s="3">
        <f>IF(OR($B13="",K$3=""),"",IF('Mass Ion Calculations'!$D$6="Yes",IF('Mass Ion Calculations'!$D$7="Yes",('Mass Ion Calculations'!$D$18+'AA Exact Masses'!$Q$3+'AA Exact Masses'!$Q$3-'Mass Ion Calculations'!$C$13-'Mass Ion Calculations'!$C14)/2-'Mass Ion Calculations'!$D$5,('Mass Ion Calculations'!$F$18+'AA Exact Masses'!$Q$3+'AA Exact Masses'!$Q$3-'Mass Ion Calculations'!$E$13-'Mass Ion Calculations'!$E14)/2-'Mass Ion Calculations'!$D$5),IF('Mass Ion Calculations'!$D$7="Yes", ('Mass Ion Calculations'!$D$15+'AA Exact Masses'!$Q$3+'AA Exact Masses'!$Q$3-'Mass Ion Calculations'!$C$13-'Mass Ion Calculations'!$C14)/2-'Mass Ion Calculations'!$D$5,('Mass Ion Calculations'!$F$15+'AA Exact Masses'!$Q$3+'AA Exact Masses'!$Q$3-'Mass Ion Calculations'!$E$13-'Mass Ion Calculations'!$E14)/2-'Mass Ion Calculations'!$D$5)))</f>
        <v>-410.60847999999999</v>
      </c>
      <c r="L13" s="3">
        <f>IF(OR($B13="",L$3=""),"",IF('Mass Ion Calculations'!$D$6="Yes",IF('Mass Ion Calculations'!$D$7="Yes",('Mass Ion Calculations'!$D$18+'AA Exact Masses'!$Q$3+'AA Exact Masses'!$Q$3-'Mass Ion Calculations'!$C$14-'Mass Ion Calculations'!$C14)/2-'Mass Ion Calculations'!$D$5,('Mass Ion Calculations'!$F$18+'AA Exact Masses'!$Q$3+'AA Exact Masses'!$Q$3-'Mass Ion Calculations'!$E$14-'Mass Ion Calculations'!$E14)/2-'Mass Ion Calculations'!$D$5),IF('Mass Ion Calculations'!$D$7="Yes", ('Mass Ion Calculations'!$D$15+'AA Exact Masses'!$Q$3+'AA Exact Masses'!$Q$3-'Mass Ion Calculations'!$C$14-'Mass Ion Calculations'!$C14)/2-'Mass Ion Calculations'!$D$5,('Mass Ion Calculations'!$F$15+'AA Exact Masses'!$Q$3+'AA Exact Masses'!$Q$3-'Mass Ion Calculations'!$E$14-'Mass Ion Calculations'!$E14)/2-'Mass Ion Calculations'!$D$5)))</f>
        <v>-418.09011499999997</v>
      </c>
      <c r="M13" s="3">
        <f>IF(OR($B13="",M$3=""),"",IF('Mass Ion Calculations'!$D$6="Yes",IF('Mass Ion Calculations'!$D$7="Yes",('Mass Ion Calculations'!$D$18+'AA Exact Masses'!$Q$3+'AA Exact Masses'!$Q$3-'Mass Ion Calculations'!$C$15-'Mass Ion Calculations'!$C14)/2-'Mass Ion Calculations'!$D$5,('Mass Ion Calculations'!$F$18+'AA Exact Masses'!$Q$3+'AA Exact Masses'!$Q$3-'Mass Ion Calculations'!$E$15-'Mass Ion Calculations'!$E14)/2-'Mass Ion Calculations'!$D$5),IF('Mass Ion Calculations'!$D$7="Yes", ('Mass Ion Calculations'!$D$15+'AA Exact Masses'!$Q$3+'AA Exact Masses'!$Q$3-'Mass Ion Calculations'!$C$15-'Mass Ion Calculations'!$C14)/2-'Mass Ion Calculations'!$D$5,('Mass Ion Calculations'!$F$15+'AA Exact Masses'!$Q$3+'AA Exact Masses'!$Q$3-'Mass Ion Calculations'!$E$15-'Mass Ion Calculations'!$E14)/2-'Mass Ion Calculations'!$D$5)))</f>
        <v>-411.08228999999994</v>
      </c>
      <c r="N13" s="3">
        <f>IF(OR($B13="",N$3=""),"",IF('Mass Ion Calculations'!$D$6="Yes",IF('Mass Ion Calculations'!$D$7="Yes",('Mass Ion Calculations'!$D$18+'AA Exact Masses'!$Q$3+'AA Exact Masses'!$Q$3-'Mass Ion Calculations'!$C$16-'Mass Ion Calculations'!$C14)/2-'Mass Ion Calculations'!$D$5,('Mass Ion Calculations'!$F$18+'AA Exact Masses'!$Q$3+'AA Exact Masses'!$Q$3-'Mass Ion Calculations'!$E$16-'Mass Ion Calculations'!$E14)/2-'Mass Ion Calculations'!$D$5),IF('Mass Ion Calculations'!$D$7="Yes", ('Mass Ion Calculations'!$D$15+'AA Exact Masses'!$Q$3+'AA Exact Masses'!$Q$3-'Mass Ion Calculations'!$C$16-'Mass Ion Calculations'!$C14)/2-'Mass Ion Calculations'!$D$5,('Mass Ion Calculations'!$F$15+'AA Exact Masses'!$Q$3+'AA Exact Masses'!$Q$3-'Mass Ion Calculations'!$E$16-'Mass Ion Calculations'!$E14)/2-'Mass Ion Calculations'!$D$5)))</f>
        <v>-389.08737499999995</v>
      </c>
      <c r="O13" s="3">
        <f>IF(OR($B13="",O$3=""),"",IF('Mass Ion Calculations'!$D$6="Yes",IF('Mass Ion Calculations'!$D$7="Yes",('Mass Ion Calculations'!$D$18+'AA Exact Masses'!$Q$3+'AA Exact Masses'!$Q$3-'Mass Ion Calculations'!$C$17-'Mass Ion Calculations'!$C14)/2-'Mass Ion Calculations'!$D$5,('Mass Ion Calculations'!$F$18+'AA Exact Masses'!$Q$3+'AA Exact Masses'!$Q$3-'Mass Ion Calculations'!$E$17-'Mass Ion Calculations'!$E14)/2-'Mass Ion Calculations'!$D$5),IF('Mass Ion Calculations'!$D$7="Yes", ('Mass Ion Calculations'!$D$15+'AA Exact Masses'!$Q$3+'AA Exact Masses'!$Q$3-'Mass Ion Calculations'!$C$17-'Mass Ion Calculations'!$C14)/2-'Mass Ion Calculations'!$D$5,('Mass Ion Calculations'!$F$15+'AA Exact Masses'!$Q$3+'AA Exact Masses'!$Q$3-'Mass Ion Calculations'!$E$17-'Mass Ion Calculations'!$E14)/2-'Mass Ion Calculations'!$D$5)))</f>
        <v>-427.103025</v>
      </c>
      <c r="P13" s="3">
        <f>IF(OR($B13="",P$3=""),"",IF('Mass Ion Calculations'!$D$6="Yes",IF('Mass Ion Calculations'!$D$7="Yes",('Mass Ion Calculations'!$D$18+'AA Exact Masses'!$Q$3+'AA Exact Masses'!$Q$3-'Mass Ion Calculations'!$C$18-'Mass Ion Calculations'!$C14)/2-'Mass Ion Calculations'!$D$5,('Mass Ion Calculations'!$F$18+'AA Exact Masses'!$Q$3+'AA Exact Masses'!$Q$3-'Mass Ion Calculations'!$E$18-'Mass Ion Calculations'!$E14)/2-'Mass Ion Calculations'!$D$5),IF('Mass Ion Calculations'!$D$7="Yes", ('Mass Ion Calculations'!$D$15+'AA Exact Masses'!$Q$3+'AA Exact Masses'!$Q$3-'Mass Ion Calculations'!$C$18-'Mass Ion Calculations'!$C14)/2-'Mass Ion Calculations'!$D$5,('Mass Ion Calculations'!$F$15+'AA Exact Masses'!$Q$3+'AA Exact Masses'!$Q$3-'Mass Ion Calculations'!$E$18-'Mass Ion Calculations'!$E14)/2-'Mass Ion Calculations'!$D$5)))</f>
        <v>-490.05134999999996</v>
      </c>
      <c r="Q13" s="3">
        <f>IF(OR($B13="",Q$3=""),"",IF('Mass Ion Calculations'!$D$6="Yes",IF('Mass Ion Calculations'!$D$7="Yes",('Mass Ion Calculations'!$D$18+'AA Exact Masses'!$Q$3+'AA Exact Masses'!$Q$3-'Mass Ion Calculations'!$C$19-'Mass Ion Calculations'!$C14)/2-'Mass Ion Calculations'!$D$5,('Mass Ion Calculations'!$F$18+'AA Exact Masses'!$Q$3+'AA Exact Masses'!$Q$3-'Mass Ion Calculations'!$E$19-'Mass Ion Calculations'!$E14)/2-'Mass Ion Calculations'!$D$5),IF('Mass Ion Calculations'!$D$7="Yes", ('Mass Ion Calculations'!$D$15+'AA Exact Masses'!$Q$3+'AA Exact Masses'!$Q$3-'Mass Ion Calculations'!$C$19-'Mass Ion Calculations'!$C14)/2-'Mass Ion Calculations'!$D$5,('Mass Ion Calculations'!$F$15+'AA Exact Masses'!$Q$3+'AA Exact Masses'!$Q$3-'Mass Ion Calculations'!$E$19-'Mass Ion Calculations'!$E14)/2-'Mass Ion Calculations'!$D$5)))</f>
        <v>-403.103025</v>
      </c>
      <c r="R13" s="3">
        <f>IF(OR($B13="",R$3=""),"",IF('Mass Ion Calculations'!$D$6="Yes",IF('Mass Ion Calculations'!$D$7="Yes",('Mass Ion Calculations'!$D$18+'AA Exact Masses'!$Q$3+'AA Exact Masses'!$Q$3-'Mass Ion Calculations'!$C$20-'Mass Ion Calculations'!$C14)/2-'Mass Ion Calculations'!$D$5,('Mass Ion Calculations'!$F$18+'AA Exact Masses'!$Q$3+'AA Exact Masses'!$Q$3-'Mass Ion Calculations'!$E$20-'Mass Ion Calculations'!$E14)/2-'Mass Ion Calculations'!$D$5),IF('Mass Ion Calculations'!$D$7="Yes", ('Mass Ion Calculations'!$D$15+'AA Exact Masses'!$Q$3+'AA Exact Masses'!$Q$3-'Mass Ion Calculations'!$C$20-'Mass Ion Calculations'!$C14)/2-'Mass Ion Calculations'!$D$5,('Mass Ion Calculations'!$F$15+'AA Exact Masses'!$Q$3+'AA Exact Masses'!$Q$3-'Mass Ion Calculations'!$E$20-'Mass Ion Calculations'!$E14)/2-'Mass Ion Calculations'!$D$5)))</f>
        <v>-410.11084999999991</v>
      </c>
      <c r="S13" s="3" t="str">
        <f>IF(OR($B13="",S$3=""),"",IF('Mass Ion Calculations'!$D$6="Yes",IF('Mass Ion Calculations'!$D$7="Yes",('Mass Ion Calculations'!$D$18+'AA Exact Masses'!$Q$3+'AA Exact Masses'!$Q$3-'Mass Ion Calculations'!$C$21-'Mass Ion Calculations'!$C14)/2-'Mass Ion Calculations'!$D$5,('Mass Ion Calculations'!$F$18+'AA Exact Masses'!$Q$3+'AA Exact Masses'!$Q$3-'Mass Ion Calculations'!$E$21-'Mass Ion Calculations'!$E14)/2-'Mass Ion Calculations'!$D$5),IF('Mass Ion Calculations'!$D$7="Yes", ('Mass Ion Calculations'!$D$15+'AA Exact Masses'!$Q$3+'AA Exact Masses'!$Q$3-'Mass Ion Calculations'!$C$21-'Mass Ion Calculations'!$C14)/2-'Mass Ion Calculations'!$D$5,('Mass Ion Calculations'!$F$15+'AA Exact Masses'!$Q$3+'AA Exact Masses'!$Q$3-'Mass Ion Calculations'!$E$21-'Mass Ion Calculations'!$E14)/2-'Mass Ion Calculations'!$D$5)))</f>
        <v/>
      </c>
      <c r="T13" s="3" t="e">
        <f>IF(OR($B13="",T$3=""),"",IF('Mass Ion Calculations'!$D$6="Yes",IF('Mass Ion Calculations'!$D$7="Yes",('Mass Ion Calculations'!$D$18+'AA Exact Masses'!$Q$3+'AA Exact Masses'!$Q$3-'Mass Ion Calculations'!$C$22-'Mass Ion Calculations'!$C14)/2-'Mass Ion Calculations'!$D$5,('Mass Ion Calculations'!$F$18+'AA Exact Masses'!$Q$3+'AA Exact Masses'!$Q$3-'Mass Ion Calculations'!$E$22-'Mass Ion Calculations'!$E14)/2-'Mass Ion Calculations'!$D$5),IF('Mass Ion Calculations'!$D$7="Yes", ('Mass Ion Calculations'!$D$15+'AA Exact Masses'!$Q$3+'AA Exact Masses'!$Q$3-'Mass Ion Calculations'!$C$22-'Mass Ion Calculations'!$C14)/2-'Mass Ion Calculations'!$D$5,('Mass Ion Calculations'!$F$15+'AA Exact Masses'!$Q$3+'AA Exact Masses'!$Q$3-'Mass Ion Calculations'!$E$22-'Mass Ion Calculations'!$E14)/2-'Mass Ion Calculations'!$D$5)))</f>
        <v>#VALUE!</v>
      </c>
      <c r="U13" s="3" t="e">
        <f>IF(OR($B13="",U$3=""),"",IF('Mass Ion Calculations'!$D$6="Yes",IF('Mass Ion Calculations'!$D$7="Yes",('Mass Ion Calculations'!$D$18+'AA Exact Masses'!$Q$3+'AA Exact Masses'!$Q$3-'Mass Ion Calculations'!$C$23-'Mass Ion Calculations'!$C14)/2-'Mass Ion Calculations'!$D$5,('Mass Ion Calculations'!$F$18+'AA Exact Masses'!$Q$3+'AA Exact Masses'!$Q$3-'Mass Ion Calculations'!$E$23-'Mass Ion Calculations'!$E14)/2-'Mass Ion Calculations'!$D$5),IF('Mass Ion Calculations'!$D$7="Yes", ('Mass Ion Calculations'!$D$15+'AA Exact Masses'!$Q$3+'AA Exact Masses'!$Q$3-'Mass Ion Calculations'!$C$23-'Mass Ion Calculations'!$C14)/2-'Mass Ion Calculations'!$D$5,('Mass Ion Calculations'!$F$15+'AA Exact Masses'!$Q$3+'AA Exact Masses'!$Q$3-'Mass Ion Calculations'!$E$23-'Mass Ion Calculations'!$E14)/2-'Mass Ion Calculations'!$D$5)))</f>
        <v>#VALUE!</v>
      </c>
      <c r="V13" s="3" t="str">
        <f>IF(OR($B13="",V$3=""),"",IF('Mass Ion Calculations'!$D$6="Yes",IF('Mass Ion Calculations'!$D$7="Yes",('Mass Ion Calculations'!$D$18+'AA Exact Masses'!$Q$3+'AA Exact Masses'!$Q$3-'Mass Ion Calculations'!$C$24-'Mass Ion Calculations'!$C14)/2-'Mass Ion Calculations'!$D$5,('Mass Ion Calculations'!$F$18+'AA Exact Masses'!$Q$3+'AA Exact Masses'!$Q$3-'Mass Ion Calculations'!$E$24-'Mass Ion Calculations'!$E14)/2-'Mass Ion Calculations'!$D$5),IF('Mass Ion Calculations'!$D$7="Yes", ('Mass Ion Calculations'!$D$15+'AA Exact Masses'!$Q$3+'AA Exact Masses'!$Q$3-'Mass Ion Calculations'!$C$24-'Mass Ion Calculations'!$C14)/2-'Mass Ion Calculations'!$D$5,('Mass Ion Calculations'!$F$15+'AA Exact Masses'!$Q$3+'AA Exact Masses'!$Q$3-'Mass Ion Calculations'!$E$24-'Mass Ion Calculations'!$E14)/2-'Mass Ion Calculations'!$D$5)))</f>
        <v/>
      </c>
      <c r="W13" s="3" t="str">
        <f>IF(OR($B13="",W$3=""),"",IF('Mass Ion Calculations'!$D$6="Yes",IF('Mass Ion Calculations'!$D$7="Yes",('Mass Ion Calculations'!$D$18+'AA Exact Masses'!$Q$3+'AA Exact Masses'!$Q$3-'Mass Ion Calculations'!$C$25-'Mass Ion Calculations'!$C14)/2-'Mass Ion Calculations'!$D$5,('Mass Ion Calculations'!$F$18+'AA Exact Masses'!$Q$3+'AA Exact Masses'!$Q$3-'Mass Ion Calculations'!$E$25-'Mass Ion Calculations'!$E14)/2-'Mass Ion Calculations'!$D$5),IF('Mass Ion Calculations'!$D$7="Yes", ('Mass Ion Calculations'!$D$15+'AA Exact Masses'!$Q$3+'AA Exact Masses'!$Q$3-'Mass Ion Calculations'!$C$25-'Mass Ion Calculations'!$C14)/2-'Mass Ion Calculations'!$D$5,('Mass Ion Calculations'!$F$15+'AA Exact Masses'!$Q$3+'AA Exact Masses'!$Q$3-'Mass Ion Calculations'!$E$25-'Mass Ion Calculations'!$E14)/2-'Mass Ion Calculations'!$D$5)))</f>
        <v/>
      </c>
      <c r="X13" s="3" t="str">
        <f>IF(OR($B13="",X$3=""),"",IF('Mass Ion Calculations'!$D$6="Yes",IF('Mass Ion Calculations'!$D$7="Yes",('Mass Ion Calculations'!$D$18+'AA Exact Masses'!$Q$3+'AA Exact Masses'!$Q$3-'Mass Ion Calculations'!$C$26-'Mass Ion Calculations'!$C14)/2-'Mass Ion Calculations'!$D$5,('Mass Ion Calculations'!$F$18+'AA Exact Masses'!$Q$3+'AA Exact Masses'!$Q$3-'Mass Ion Calculations'!$E$26-'Mass Ion Calculations'!$E14)/2-'Mass Ion Calculations'!$D$5),IF('Mass Ion Calculations'!$D$7="Yes", ('Mass Ion Calculations'!$D$15+'AA Exact Masses'!$Q$3+'AA Exact Masses'!$Q$3-'Mass Ion Calculations'!$C$26-'Mass Ion Calculations'!$C14)/2-'Mass Ion Calculations'!$D$5,('Mass Ion Calculations'!$F$15+'AA Exact Masses'!$Q$3+'AA Exact Masses'!$Q$3-'Mass Ion Calculations'!$E$26-'Mass Ion Calculations'!$E14)/2-'Mass Ion Calculations'!$D$5)))</f>
        <v/>
      </c>
      <c r="Y13" s="3" t="str">
        <f>IF(OR($B13="",Y$3=""),"",IF('Mass Ion Calculations'!$D$6="Yes",IF('Mass Ion Calculations'!$D$7="Yes",('Mass Ion Calculations'!$D$18+'AA Exact Masses'!$Q$3+'AA Exact Masses'!$Q$3-'Mass Ion Calculations'!$C$27-'Mass Ion Calculations'!$C14)/2-'Mass Ion Calculations'!$D$5,('Mass Ion Calculations'!$F$18+'AA Exact Masses'!$Q$3+'AA Exact Masses'!$Q$3-'Mass Ion Calculations'!$E$27-'Mass Ion Calculations'!$E14)/2-'Mass Ion Calculations'!$D$5),IF('Mass Ion Calculations'!$D$7="Yes", ('Mass Ion Calculations'!$D$15+'AA Exact Masses'!$Q$3+'AA Exact Masses'!$Q$3-'Mass Ion Calculations'!$C$27-'Mass Ion Calculations'!$C14)/2-'Mass Ion Calculations'!$D$5,('Mass Ion Calculations'!$F$15+'AA Exact Masses'!$Q$3+'AA Exact Masses'!$Q$3-'Mass Ion Calculations'!$E$27-'Mass Ion Calculations'!$E14)/2-'Mass Ion Calculations'!$D$5)))</f>
        <v/>
      </c>
      <c r="Z13" s="3" t="str">
        <f>IF(OR($B13="",Z$3=""),"",IF('Mass Ion Calculations'!$D$6="Yes",IF('Mass Ion Calculations'!$D$7="Yes",('Mass Ion Calculations'!$D$18+'AA Exact Masses'!$Q$3+'AA Exact Masses'!$Q$3-'Mass Ion Calculations'!$C$28-'Mass Ion Calculations'!$C14)/2-'Mass Ion Calculations'!$D$5,('Mass Ion Calculations'!$F$18+'AA Exact Masses'!$Q$3+'AA Exact Masses'!$Q$3-'Mass Ion Calculations'!$E$28-'Mass Ion Calculations'!$E14)/2-'Mass Ion Calculations'!$D$5),IF('Mass Ion Calculations'!$D$7="Yes", ('Mass Ion Calculations'!$D$15+'AA Exact Masses'!$Q$3+'AA Exact Masses'!$Q$3-'Mass Ion Calculations'!$C$28-'Mass Ion Calculations'!$C14)/2-'Mass Ion Calculations'!$D$5,('Mass Ion Calculations'!$F$15+'AA Exact Masses'!$Q$3+'AA Exact Masses'!$Q$3-'Mass Ion Calculations'!$E$28-'Mass Ion Calculations'!$E14)/2-'Mass Ion Calculations'!$D$5)))</f>
        <v/>
      </c>
    </row>
    <row r="14" spans="2:26" x14ac:dyDescent="0.25">
      <c r="B14" s="4" t="str">
        <f>IF('Mass Ion Calculations'!B15="","", 'Mass Ion Calculations'!B15)</f>
        <v>Asp(tBu)</v>
      </c>
      <c r="C14" s="3">
        <f>IF(OR($B14="",C$3=""),"",IF('Mass Ion Calculations'!$D$6="Yes",IF('Mass Ion Calculations'!$D$7="Yes",('Mass Ion Calculations'!$D$18+'AA Exact Masses'!$Q$3+'AA Exact Masses'!$Q$3-'Mass Ion Calculations'!$C$5-'Mass Ion Calculations'!$C15)/2-'Mass Ion Calculations'!$D$5,('Mass Ion Calculations'!$F$18+'AA Exact Masses'!$Q$3+'AA Exact Masses'!$Q$3-'Mass Ion Calculations'!$E$5-'Mass Ion Calculations'!$E15)/2-'Mass Ion Calculations'!$D$5),IF('Mass Ion Calculations'!$D$7="Yes", ('Mass Ion Calculations'!$D$15+'AA Exact Masses'!$Q$3+'AA Exact Masses'!$Q$3-'Mass Ion Calculations'!$C$5-'Mass Ion Calculations'!$C15)/2-'Mass Ion Calculations'!$D$5,('Mass Ion Calculations'!$F$15+'AA Exact Masses'!$Q$3+'AA Exact Masses'!$Q$3-'Mass Ion Calculations'!$E$5-'Mass Ion Calculations'!$E15)/2-'Mass Ion Calculations'!$D$5)))</f>
        <v>-403.60065499999996</v>
      </c>
      <c r="D14" s="3">
        <f>IF(OR($B14="",D$3=""),"",IF('Mass Ion Calculations'!$D$6="Yes",IF('Mass Ion Calculations'!$D$7="Yes",('Mass Ion Calculations'!$D$18+'AA Exact Masses'!$Q$3+'AA Exact Masses'!$Q$3-'Mass Ion Calculations'!$C$6-'Mass Ion Calculations'!$C15)/2-'Mass Ion Calculations'!$D$5,('Mass Ion Calculations'!$F$18+'AA Exact Masses'!$Q$3+'AA Exact Masses'!$Q$3-'Mass Ion Calculations'!$E$6-'Mass Ion Calculations'!$E15)/2-'Mass Ion Calculations'!$D$5),IF('Mass Ion Calculations'!$D$7="Yes", ('Mass Ion Calculations'!$D$15+'AA Exact Masses'!$Q$3+'AA Exact Masses'!$Q$3-'Mass Ion Calculations'!$C$6-'Mass Ion Calculations'!$C15)/2-'Mass Ion Calculations'!$D$5,('Mass Ion Calculations'!$F$15+'AA Exact Masses'!$Q$3+'AA Exact Masses'!$Q$3-'Mass Ion Calculations'!$E$6-'Mass Ion Calculations'!$E15)/2-'Mass Ion Calculations'!$D$5)))</f>
        <v>-382.07954999999993</v>
      </c>
      <c r="E14" s="3">
        <f>IF(OR($B14="",E$3=""),"",IF('Mass Ion Calculations'!$D$6="Yes",IF('Mass Ion Calculations'!$D$7="Yes",('Mass Ion Calculations'!$D$18+'AA Exact Masses'!$Q$3+'AA Exact Masses'!$Q$3-'Mass Ion Calculations'!$C$7-'Mass Ion Calculations'!$C15)/2-'Mass Ion Calculations'!$D$5,('Mass Ion Calculations'!$F$18+'AA Exact Masses'!$Q$3+'AA Exact Masses'!$Q$3-'Mass Ion Calculations'!$E$7-'Mass Ion Calculations'!$E15)/2-'Mass Ion Calculations'!$D$5),IF('Mass Ion Calculations'!$D$7="Yes", ('Mass Ion Calculations'!$D$15+'AA Exact Masses'!$Q$3+'AA Exact Masses'!$Q$3-'Mass Ion Calculations'!$C$7-'Mass Ion Calculations'!$C15)/2-'Mass Ion Calculations'!$D$5,('Mass Ion Calculations'!$F$15+'AA Exact Masses'!$Q$3+'AA Exact Masses'!$Q$3-'Mass Ion Calculations'!$E$7-'Mass Ion Calculations'!$E15)/2-'Mass Ion Calculations'!$D$5)))</f>
        <v>-403.10302499999989</v>
      </c>
      <c r="F14" s="3">
        <f>IF(OR($B14="",F$3=""),"",IF('Mass Ion Calculations'!$D$6="Yes",IF('Mass Ion Calculations'!$D$7="Yes",('Mass Ion Calculations'!$D$18+'AA Exact Masses'!$Q$3+'AA Exact Masses'!$Q$3-'Mass Ion Calculations'!$C$8-'Mass Ion Calculations'!$C15)/2-'Mass Ion Calculations'!$D$5,('Mass Ion Calculations'!$F$18+'AA Exact Masses'!$Q$3+'AA Exact Masses'!$Q$3-'Mass Ion Calculations'!$E$8-'Mass Ion Calculations'!$E15)/2-'Mass Ion Calculations'!$D$5),IF('Mass Ion Calculations'!$D$7="Yes", ('Mass Ion Calculations'!$D$15+'AA Exact Masses'!$Q$3+'AA Exact Masses'!$Q$3-'Mass Ion Calculations'!$C$8-'Mass Ion Calculations'!$C15)/2-'Mass Ion Calculations'!$D$5,('Mass Ion Calculations'!$F$15+'AA Exact Masses'!$Q$3+'AA Exact Masses'!$Q$3-'Mass Ion Calculations'!$E$8-'Mass Ion Calculations'!$E15)/2-'Mass Ion Calculations'!$D$5)))</f>
        <v>-403.10302499999989</v>
      </c>
      <c r="G14" s="3">
        <f>IF(OR($B14="",G$3=""),"",IF('Mass Ion Calculations'!$D$6="Yes",IF('Mass Ion Calculations'!$D$7="Yes",('Mass Ion Calculations'!$D$18+'AA Exact Masses'!$Q$3+'AA Exact Masses'!$Q$3-'Mass Ion Calculations'!$C$9-'Mass Ion Calculations'!$C15)/2-'Mass Ion Calculations'!$D$5,('Mass Ion Calculations'!$F$18+'AA Exact Masses'!$Q$3+'AA Exact Masses'!$Q$3-'Mass Ion Calculations'!$E$9-'Mass Ion Calculations'!$E15)/2-'Mass Ion Calculations'!$D$5),IF('Mass Ion Calculations'!$D$7="Yes", ('Mass Ion Calculations'!$D$15+'AA Exact Masses'!$Q$3+'AA Exact Masses'!$Q$3-'Mass Ion Calculations'!$C$9-'Mass Ion Calculations'!$C15)/2-'Mass Ion Calculations'!$D$5,('Mass Ion Calculations'!$F$15+'AA Exact Masses'!$Q$3+'AA Exact Masses'!$Q$3-'Mass Ion Calculations'!$E$9-'Mass Ion Calculations'!$E15)/2-'Mass Ion Calculations'!$D$5)))</f>
        <v>-382.07954999999993</v>
      </c>
      <c r="H14" s="3">
        <f>IF(OR($B14="",H$3=""),"",IF('Mass Ion Calculations'!$D$6="Yes",IF('Mass Ion Calculations'!$D$7="Yes",('Mass Ion Calculations'!$D$18+'AA Exact Masses'!$Q$3+'AA Exact Masses'!$Q$3-'Mass Ion Calculations'!$C$10-'Mass Ion Calculations'!$C15)/2-'Mass Ion Calculations'!$D$5,('Mass Ion Calculations'!$F$18+'AA Exact Masses'!$Q$3+'AA Exact Masses'!$Q$3-'Mass Ion Calculations'!$E$10-'Mass Ion Calculations'!$E15)/2-'Mass Ion Calculations'!$D$5),IF('Mass Ion Calculations'!$D$7="Yes", ('Mass Ion Calculations'!$D$15+'AA Exact Masses'!$Q$3+'AA Exact Masses'!$Q$3-'Mass Ion Calculations'!$C$10-'Mass Ion Calculations'!$C15)/2-'Mass Ion Calculations'!$D$5,('Mass Ion Calculations'!$F$15+'AA Exact Masses'!$Q$3+'AA Exact Masses'!$Q$3-'Mass Ion Calculations'!$E$10-'Mass Ion Calculations'!$E15)/2-'Mass Ion Calculations'!$D$5)))</f>
        <v>-403.10302499999989</v>
      </c>
      <c r="I14" s="3">
        <f>IF(OR($B14="",I$3=""),"",IF('Mass Ion Calculations'!$D$6="Yes",IF('Mass Ion Calculations'!$D$7="Yes",('Mass Ion Calculations'!$D$18+'AA Exact Masses'!$Q$3+'AA Exact Masses'!$Q$3-'Mass Ion Calculations'!$C$11-'Mass Ion Calculations'!$C15)/2-'Mass Ion Calculations'!$D$5,('Mass Ion Calculations'!$F$18+'AA Exact Masses'!$Q$3+'AA Exact Masses'!$Q$3-'Mass Ion Calculations'!$E$11-'Mass Ion Calculations'!$E15)/2-'Mass Ion Calculations'!$D$5),IF('Mass Ion Calculations'!$D$7="Yes", ('Mass Ion Calculations'!$D$15+'AA Exact Masses'!$Q$3+'AA Exact Masses'!$Q$3-'Mass Ion Calculations'!$C$11-'Mass Ion Calculations'!$C15)/2-'Mass Ion Calculations'!$D$5,('Mass Ion Calculations'!$F$15+'AA Exact Masses'!$Q$3+'AA Exact Masses'!$Q$3-'Mass Ion Calculations'!$E$11-'Mass Ion Calculations'!$E15)/2-'Mass Ion Calculations'!$D$5)))</f>
        <v>-403.60065499999996</v>
      </c>
      <c r="J14" s="3">
        <f>IF(OR($B14="",J$3=""),"",IF('Mass Ion Calculations'!$D$6="Yes",IF('Mass Ion Calculations'!$D$7="Yes",('Mass Ion Calculations'!$D$18+'AA Exact Masses'!$Q$3+'AA Exact Masses'!$Q$3-'Mass Ion Calculations'!$C$12-'Mass Ion Calculations'!$C15)/2-'Mass Ion Calculations'!$D$5,('Mass Ion Calculations'!$F$18+'AA Exact Masses'!$Q$3+'AA Exact Masses'!$Q$3-'Mass Ion Calculations'!$E$12-'Mass Ion Calculations'!$E15)/2-'Mass Ion Calculations'!$D$5),IF('Mass Ion Calculations'!$D$7="Yes", ('Mass Ion Calculations'!$D$15+'AA Exact Masses'!$Q$3+'AA Exact Masses'!$Q$3-'Mass Ion Calculations'!$C$12-'Mass Ion Calculations'!$C15)/2-'Mass Ion Calculations'!$D$5,('Mass Ion Calculations'!$F$15+'AA Exact Masses'!$Q$3+'AA Exact Masses'!$Q$3-'Mass Ion Calculations'!$E$12-'Mass Ion Calculations'!$E15)/2-'Mass Ion Calculations'!$D$5)))</f>
        <v>-396.09519999999998</v>
      </c>
      <c r="K14" s="3">
        <f>IF(OR($B14="",K$3=""),"",IF('Mass Ion Calculations'!$D$6="Yes",IF('Mass Ion Calculations'!$D$7="Yes",('Mass Ion Calculations'!$D$18+'AA Exact Masses'!$Q$3+'AA Exact Masses'!$Q$3-'Mass Ion Calculations'!$C$13-'Mass Ion Calculations'!$C15)/2-'Mass Ion Calculations'!$D$5,('Mass Ion Calculations'!$F$18+'AA Exact Masses'!$Q$3+'AA Exact Masses'!$Q$3-'Mass Ion Calculations'!$E$13-'Mass Ion Calculations'!$E15)/2-'Mass Ion Calculations'!$D$5),IF('Mass Ion Calculations'!$D$7="Yes", ('Mass Ion Calculations'!$D$15+'AA Exact Masses'!$Q$3+'AA Exact Masses'!$Q$3-'Mass Ion Calculations'!$C$13-'Mass Ion Calculations'!$C15)/2-'Mass Ion Calculations'!$D$5,('Mass Ion Calculations'!$F$15+'AA Exact Masses'!$Q$3+'AA Exact Masses'!$Q$3-'Mass Ion Calculations'!$E$13-'Mass Ion Calculations'!$E15)/2-'Mass Ion Calculations'!$D$5)))</f>
        <v>-403.60065499999996</v>
      </c>
      <c r="L14" s="3">
        <f>IF(OR($B14="",L$3=""),"",IF('Mass Ion Calculations'!$D$6="Yes",IF('Mass Ion Calculations'!$D$7="Yes",('Mass Ion Calculations'!$D$18+'AA Exact Masses'!$Q$3+'AA Exact Masses'!$Q$3-'Mass Ion Calculations'!$C$14-'Mass Ion Calculations'!$C15)/2-'Mass Ion Calculations'!$D$5,('Mass Ion Calculations'!$F$18+'AA Exact Masses'!$Q$3+'AA Exact Masses'!$Q$3-'Mass Ion Calculations'!$E$14-'Mass Ion Calculations'!$E15)/2-'Mass Ion Calculations'!$D$5),IF('Mass Ion Calculations'!$D$7="Yes", ('Mass Ion Calculations'!$D$15+'AA Exact Masses'!$Q$3+'AA Exact Masses'!$Q$3-'Mass Ion Calculations'!$C$14-'Mass Ion Calculations'!$C15)/2-'Mass Ion Calculations'!$D$5,('Mass Ion Calculations'!$F$15+'AA Exact Masses'!$Q$3+'AA Exact Masses'!$Q$3-'Mass Ion Calculations'!$E$14-'Mass Ion Calculations'!$E15)/2-'Mass Ion Calculations'!$D$5)))</f>
        <v>-411.08228999999994</v>
      </c>
      <c r="M14" s="3">
        <f>IF(OR($B14="",M$3=""),"",IF('Mass Ion Calculations'!$D$6="Yes",IF('Mass Ion Calculations'!$D$7="Yes",('Mass Ion Calculations'!$D$18+'AA Exact Masses'!$Q$3+'AA Exact Masses'!$Q$3-'Mass Ion Calculations'!$C$15-'Mass Ion Calculations'!$C15)/2-'Mass Ion Calculations'!$D$5,('Mass Ion Calculations'!$F$18+'AA Exact Masses'!$Q$3+'AA Exact Masses'!$Q$3-'Mass Ion Calculations'!$E$15-'Mass Ion Calculations'!$E15)/2-'Mass Ion Calculations'!$D$5),IF('Mass Ion Calculations'!$D$7="Yes", ('Mass Ion Calculations'!$D$15+'AA Exact Masses'!$Q$3+'AA Exact Masses'!$Q$3-'Mass Ion Calculations'!$C$15-'Mass Ion Calculations'!$C15)/2-'Mass Ion Calculations'!$D$5,('Mass Ion Calculations'!$F$15+'AA Exact Masses'!$Q$3+'AA Exact Masses'!$Q$3-'Mass Ion Calculations'!$E$15-'Mass Ion Calculations'!$E15)/2-'Mass Ion Calculations'!$D$5)))</f>
        <v>-404.07446499999992</v>
      </c>
      <c r="N14" s="3">
        <f>IF(OR($B14="",N$3=""),"",IF('Mass Ion Calculations'!$D$6="Yes",IF('Mass Ion Calculations'!$D$7="Yes",('Mass Ion Calculations'!$D$18+'AA Exact Masses'!$Q$3+'AA Exact Masses'!$Q$3-'Mass Ion Calculations'!$C$16-'Mass Ion Calculations'!$C15)/2-'Mass Ion Calculations'!$D$5,('Mass Ion Calculations'!$F$18+'AA Exact Masses'!$Q$3+'AA Exact Masses'!$Q$3-'Mass Ion Calculations'!$E$16-'Mass Ion Calculations'!$E15)/2-'Mass Ion Calculations'!$D$5),IF('Mass Ion Calculations'!$D$7="Yes", ('Mass Ion Calculations'!$D$15+'AA Exact Masses'!$Q$3+'AA Exact Masses'!$Q$3-'Mass Ion Calculations'!$C$16-'Mass Ion Calculations'!$C15)/2-'Mass Ion Calculations'!$D$5,('Mass Ion Calculations'!$F$15+'AA Exact Masses'!$Q$3+'AA Exact Masses'!$Q$3-'Mass Ion Calculations'!$E$16-'Mass Ion Calculations'!$E15)/2-'Mass Ion Calculations'!$D$5)))</f>
        <v>-382.07954999999993</v>
      </c>
      <c r="O14" s="3">
        <f>IF(OR($B14="",O$3=""),"",IF('Mass Ion Calculations'!$D$6="Yes",IF('Mass Ion Calculations'!$D$7="Yes",('Mass Ion Calculations'!$D$18+'AA Exact Masses'!$Q$3+'AA Exact Masses'!$Q$3-'Mass Ion Calculations'!$C$17-'Mass Ion Calculations'!$C15)/2-'Mass Ion Calculations'!$D$5,('Mass Ion Calculations'!$F$18+'AA Exact Masses'!$Q$3+'AA Exact Masses'!$Q$3-'Mass Ion Calculations'!$E$17-'Mass Ion Calculations'!$E15)/2-'Mass Ion Calculations'!$D$5),IF('Mass Ion Calculations'!$D$7="Yes", ('Mass Ion Calculations'!$D$15+'AA Exact Masses'!$Q$3+'AA Exact Masses'!$Q$3-'Mass Ion Calculations'!$C$17-'Mass Ion Calculations'!$C15)/2-'Mass Ion Calculations'!$D$5,('Mass Ion Calculations'!$F$15+'AA Exact Masses'!$Q$3+'AA Exact Masses'!$Q$3-'Mass Ion Calculations'!$E$17-'Mass Ion Calculations'!$E15)/2-'Mass Ion Calculations'!$D$5)))</f>
        <v>-420.09519999999998</v>
      </c>
      <c r="P14" s="3">
        <f>IF(OR($B14="",P$3=""),"",IF('Mass Ion Calculations'!$D$6="Yes",IF('Mass Ion Calculations'!$D$7="Yes",('Mass Ion Calculations'!$D$18+'AA Exact Masses'!$Q$3+'AA Exact Masses'!$Q$3-'Mass Ion Calculations'!$C$18-'Mass Ion Calculations'!$C15)/2-'Mass Ion Calculations'!$D$5,('Mass Ion Calculations'!$F$18+'AA Exact Masses'!$Q$3+'AA Exact Masses'!$Q$3-'Mass Ion Calculations'!$E$18-'Mass Ion Calculations'!$E15)/2-'Mass Ion Calculations'!$D$5),IF('Mass Ion Calculations'!$D$7="Yes", ('Mass Ion Calculations'!$D$15+'AA Exact Masses'!$Q$3+'AA Exact Masses'!$Q$3-'Mass Ion Calculations'!$C$18-'Mass Ion Calculations'!$C15)/2-'Mass Ion Calculations'!$D$5,('Mass Ion Calculations'!$F$15+'AA Exact Masses'!$Q$3+'AA Exact Masses'!$Q$3-'Mass Ion Calculations'!$E$18-'Mass Ion Calculations'!$E15)/2-'Mass Ion Calculations'!$D$5)))</f>
        <v>-483.04352499999993</v>
      </c>
      <c r="Q14" s="3">
        <f>IF(OR($B14="",Q$3=""),"",IF('Mass Ion Calculations'!$D$6="Yes",IF('Mass Ion Calculations'!$D$7="Yes",('Mass Ion Calculations'!$D$18+'AA Exact Masses'!$Q$3+'AA Exact Masses'!$Q$3-'Mass Ion Calculations'!$C$19-'Mass Ion Calculations'!$C15)/2-'Mass Ion Calculations'!$D$5,('Mass Ion Calculations'!$F$18+'AA Exact Masses'!$Q$3+'AA Exact Masses'!$Q$3-'Mass Ion Calculations'!$E$19-'Mass Ion Calculations'!$E15)/2-'Mass Ion Calculations'!$D$5),IF('Mass Ion Calculations'!$D$7="Yes", ('Mass Ion Calculations'!$D$15+'AA Exact Masses'!$Q$3+'AA Exact Masses'!$Q$3-'Mass Ion Calculations'!$C$19-'Mass Ion Calculations'!$C15)/2-'Mass Ion Calculations'!$D$5,('Mass Ion Calculations'!$F$15+'AA Exact Masses'!$Q$3+'AA Exact Masses'!$Q$3-'Mass Ion Calculations'!$E$19-'Mass Ion Calculations'!$E15)/2-'Mass Ion Calculations'!$D$5)))</f>
        <v>-396.09519999999998</v>
      </c>
      <c r="R14" s="3">
        <f>IF(OR($B14="",R$3=""),"",IF('Mass Ion Calculations'!$D$6="Yes",IF('Mass Ion Calculations'!$D$7="Yes",('Mass Ion Calculations'!$D$18+'AA Exact Masses'!$Q$3+'AA Exact Masses'!$Q$3-'Mass Ion Calculations'!$C$20-'Mass Ion Calculations'!$C15)/2-'Mass Ion Calculations'!$D$5,('Mass Ion Calculations'!$F$18+'AA Exact Masses'!$Q$3+'AA Exact Masses'!$Q$3-'Mass Ion Calculations'!$E$20-'Mass Ion Calculations'!$E15)/2-'Mass Ion Calculations'!$D$5),IF('Mass Ion Calculations'!$D$7="Yes", ('Mass Ion Calculations'!$D$15+'AA Exact Masses'!$Q$3+'AA Exact Masses'!$Q$3-'Mass Ion Calculations'!$C$20-'Mass Ion Calculations'!$C15)/2-'Mass Ion Calculations'!$D$5,('Mass Ion Calculations'!$F$15+'AA Exact Masses'!$Q$3+'AA Exact Masses'!$Q$3-'Mass Ion Calculations'!$E$20-'Mass Ion Calculations'!$E15)/2-'Mass Ion Calculations'!$D$5)))</f>
        <v>-403.10302499999989</v>
      </c>
      <c r="S14" s="3" t="str">
        <f>IF(OR($B14="",S$3=""),"",IF('Mass Ion Calculations'!$D$6="Yes",IF('Mass Ion Calculations'!$D$7="Yes",('Mass Ion Calculations'!$D$18+'AA Exact Masses'!$Q$3+'AA Exact Masses'!$Q$3-'Mass Ion Calculations'!$C$21-'Mass Ion Calculations'!$C15)/2-'Mass Ion Calculations'!$D$5,('Mass Ion Calculations'!$F$18+'AA Exact Masses'!$Q$3+'AA Exact Masses'!$Q$3-'Mass Ion Calculations'!$E$21-'Mass Ion Calculations'!$E15)/2-'Mass Ion Calculations'!$D$5),IF('Mass Ion Calculations'!$D$7="Yes", ('Mass Ion Calculations'!$D$15+'AA Exact Masses'!$Q$3+'AA Exact Masses'!$Q$3-'Mass Ion Calculations'!$C$21-'Mass Ion Calculations'!$C15)/2-'Mass Ion Calculations'!$D$5,('Mass Ion Calculations'!$F$15+'AA Exact Masses'!$Q$3+'AA Exact Masses'!$Q$3-'Mass Ion Calculations'!$E$21-'Mass Ion Calculations'!$E15)/2-'Mass Ion Calculations'!$D$5)))</f>
        <v/>
      </c>
      <c r="T14" s="3" t="e">
        <f>IF(OR($B14="",T$3=""),"",IF('Mass Ion Calculations'!$D$6="Yes",IF('Mass Ion Calculations'!$D$7="Yes",('Mass Ion Calculations'!$D$18+'AA Exact Masses'!$Q$3+'AA Exact Masses'!$Q$3-'Mass Ion Calculations'!$C$22-'Mass Ion Calculations'!$C15)/2-'Mass Ion Calculations'!$D$5,('Mass Ion Calculations'!$F$18+'AA Exact Masses'!$Q$3+'AA Exact Masses'!$Q$3-'Mass Ion Calculations'!$E$22-'Mass Ion Calculations'!$E15)/2-'Mass Ion Calculations'!$D$5),IF('Mass Ion Calculations'!$D$7="Yes", ('Mass Ion Calculations'!$D$15+'AA Exact Masses'!$Q$3+'AA Exact Masses'!$Q$3-'Mass Ion Calculations'!$C$22-'Mass Ion Calculations'!$C15)/2-'Mass Ion Calculations'!$D$5,('Mass Ion Calculations'!$F$15+'AA Exact Masses'!$Q$3+'AA Exact Masses'!$Q$3-'Mass Ion Calculations'!$E$22-'Mass Ion Calculations'!$E15)/2-'Mass Ion Calculations'!$D$5)))</f>
        <v>#VALUE!</v>
      </c>
      <c r="U14" s="3" t="e">
        <f>IF(OR($B14="",U$3=""),"",IF('Mass Ion Calculations'!$D$6="Yes",IF('Mass Ion Calculations'!$D$7="Yes",('Mass Ion Calculations'!$D$18+'AA Exact Masses'!$Q$3+'AA Exact Masses'!$Q$3-'Mass Ion Calculations'!$C$23-'Mass Ion Calculations'!$C15)/2-'Mass Ion Calculations'!$D$5,('Mass Ion Calculations'!$F$18+'AA Exact Masses'!$Q$3+'AA Exact Masses'!$Q$3-'Mass Ion Calculations'!$E$23-'Mass Ion Calculations'!$E15)/2-'Mass Ion Calculations'!$D$5),IF('Mass Ion Calculations'!$D$7="Yes", ('Mass Ion Calculations'!$D$15+'AA Exact Masses'!$Q$3+'AA Exact Masses'!$Q$3-'Mass Ion Calculations'!$C$23-'Mass Ion Calculations'!$C15)/2-'Mass Ion Calculations'!$D$5,('Mass Ion Calculations'!$F$15+'AA Exact Masses'!$Q$3+'AA Exact Masses'!$Q$3-'Mass Ion Calculations'!$E$23-'Mass Ion Calculations'!$E15)/2-'Mass Ion Calculations'!$D$5)))</f>
        <v>#VALUE!</v>
      </c>
      <c r="V14" s="3" t="str">
        <f>IF(OR($B14="",V$3=""),"",IF('Mass Ion Calculations'!$D$6="Yes",IF('Mass Ion Calculations'!$D$7="Yes",('Mass Ion Calculations'!$D$18+'AA Exact Masses'!$Q$3+'AA Exact Masses'!$Q$3-'Mass Ion Calculations'!$C$24-'Mass Ion Calculations'!$C15)/2-'Mass Ion Calculations'!$D$5,('Mass Ion Calculations'!$F$18+'AA Exact Masses'!$Q$3+'AA Exact Masses'!$Q$3-'Mass Ion Calculations'!$E$24-'Mass Ion Calculations'!$E15)/2-'Mass Ion Calculations'!$D$5),IF('Mass Ion Calculations'!$D$7="Yes", ('Mass Ion Calculations'!$D$15+'AA Exact Masses'!$Q$3+'AA Exact Masses'!$Q$3-'Mass Ion Calculations'!$C$24-'Mass Ion Calculations'!$C15)/2-'Mass Ion Calculations'!$D$5,('Mass Ion Calculations'!$F$15+'AA Exact Masses'!$Q$3+'AA Exact Masses'!$Q$3-'Mass Ion Calculations'!$E$24-'Mass Ion Calculations'!$E15)/2-'Mass Ion Calculations'!$D$5)))</f>
        <v/>
      </c>
      <c r="W14" s="3" t="str">
        <f>IF(OR($B14="",W$3=""),"",IF('Mass Ion Calculations'!$D$6="Yes",IF('Mass Ion Calculations'!$D$7="Yes",('Mass Ion Calculations'!$D$18+'AA Exact Masses'!$Q$3+'AA Exact Masses'!$Q$3-'Mass Ion Calculations'!$C$25-'Mass Ion Calculations'!$C15)/2-'Mass Ion Calculations'!$D$5,('Mass Ion Calculations'!$F$18+'AA Exact Masses'!$Q$3+'AA Exact Masses'!$Q$3-'Mass Ion Calculations'!$E$25-'Mass Ion Calculations'!$E15)/2-'Mass Ion Calculations'!$D$5),IF('Mass Ion Calculations'!$D$7="Yes", ('Mass Ion Calculations'!$D$15+'AA Exact Masses'!$Q$3+'AA Exact Masses'!$Q$3-'Mass Ion Calculations'!$C$25-'Mass Ion Calculations'!$C15)/2-'Mass Ion Calculations'!$D$5,('Mass Ion Calculations'!$F$15+'AA Exact Masses'!$Q$3+'AA Exact Masses'!$Q$3-'Mass Ion Calculations'!$E$25-'Mass Ion Calculations'!$E15)/2-'Mass Ion Calculations'!$D$5)))</f>
        <v/>
      </c>
      <c r="X14" s="3" t="str">
        <f>IF(OR($B14="",X$3=""),"",IF('Mass Ion Calculations'!$D$6="Yes",IF('Mass Ion Calculations'!$D$7="Yes",('Mass Ion Calculations'!$D$18+'AA Exact Masses'!$Q$3+'AA Exact Masses'!$Q$3-'Mass Ion Calculations'!$C$26-'Mass Ion Calculations'!$C15)/2-'Mass Ion Calculations'!$D$5,('Mass Ion Calculations'!$F$18+'AA Exact Masses'!$Q$3+'AA Exact Masses'!$Q$3-'Mass Ion Calculations'!$E$26-'Mass Ion Calculations'!$E15)/2-'Mass Ion Calculations'!$D$5),IF('Mass Ion Calculations'!$D$7="Yes", ('Mass Ion Calculations'!$D$15+'AA Exact Masses'!$Q$3+'AA Exact Masses'!$Q$3-'Mass Ion Calculations'!$C$26-'Mass Ion Calculations'!$C15)/2-'Mass Ion Calculations'!$D$5,('Mass Ion Calculations'!$F$15+'AA Exact Masses'!$Q$3+'AA Exact Masses'!$Q$3-'Mass Ion Calculations'!$E$26-'Mass Ion Calculations'!$E15)/2-'Mass Ion Calculations'!$D$5)))</f>
        <v/>
      </c>
      <c r="Y14" s="3" t="str">
        <f>IF(OR($B14="",Y$3=""),"",IF('Mass Ion Calculations'!$D$6="Yes",IF('Mass Ion Calculations'!$D$7="Yes",('Mass Ion Calculations'!$D$18+'AA Exact Masses'!$Q$3+'AA Exact Masses'!$Q$3-'Mass Ion Calculations'!$C$27-'Mass Ion Calculations'!$C15)/2-'Mass Ion Calculations'!$D$5,('Mass Ion Calculations'!$F$18+'AA Exact Masses'!$Q$3+'AA Exact Masses'!$Q$3-'Mass Ion Calculations'!$E$27-'Mass Ion Calculations'!$E15)/2-'Mass Ion Calculations'!$D$5),IF('Mass Ion Calculations'!$D$7="Yes", ('Mass Ion Calculations'!$D$15+'AA Exact Masses'!$Q$3+'AA Exact Masses'!$Q$3-'Mass Ion Calculations'!$C$27-'Mass Ion Calculations'!$C15)/2-'Mass Ion Calculations'!$D$5,('Mass Ion Calculations'!$F$15+'AA Exact Masses'!$Q$3+'AA Exact Masses'!$Q$3-'Mass Ion Calculations'!$E$27-'Mass Ion Calculations'!$E15)/2-'Mass Ion Calculations'!$D$5)))</f>
        <v/>
      </c>
      <c r="Z14" s="3" t="str">
        <f>IF(OR($B14="",Z$3=""),"",IF('Mass Ion Calculations'!$D$6="Yes",IF('Mass Ion Calculations'!$D$7="Yes",('Mass Ion Calculations'!$D$18+'AA Exact Masses'!$Q$3+'AA Exact Masses'!$Q$3-'Mass Ion Calculations'!$C$28-'Mass Ion Calculations'!$C15)/2-'Mass Ion Calculations'!$D$5,('Mass Ion Calculations'!$F$18+'AA Exact Masses'!$Q$3+'AA Exact Masses'!$Q$3-'Mass Ion Calculations'!$E$28-'Mass Ion Calculations'!$E15)/2-'Mass Ion Calculations'!$D$5),IF('Mass Ion Calculations'!$D$7="Yes", ('Mass Ion Calculations'!$D$15+'AA Exact Masses'!$Q$3+'AA Exact Masses'!$Q$3-'Mass Ion Calculations'!$C$28-'Mass Ion Calculations'!$C15)/2-'Mass Ion Calculations'!$D$5,('Mass Ion Calculations'!$F$15+'AA Exact Masses'!$Q$3+'AA Exact Masses'!$Q$3-'Mass Ion Calculations'!$E$28-'Mass Ion Calculations'!$E15)/2-'Mass Ion Calculations'!$D$5)))</f>
        <v/>
      </c>
    </row>
    <row r="15" spans="2:26" x14ac:dyDescent="0.25">
      <c r="B15" s="4" t="str">
        <f>IF('Mass Ion Calculations'!B16="","", 'Mass Ion Calculations'!B16)</f>
        <v>Ala</v>
      </c>
      <c r="C15" s="3">
        <f>IF(OR($B15="",C$3=""),"",IF('Mass Ion Calculations'!$D$6="Yes",IF('Mass Ion Calculations'!$D$7="Yes",('Mass Ion Calculations'!$D$18+'AA Exact Masses'!$Q$3+'AA Exact Masses'!$Q$3-'Mass Ion Calculations'!$C$5-'Mass Ion Calculations'!$C16)/2-'Mass Ion Calculations'!$D$5,('Mass Ion Calculations'!$F$18+'AA Exact Masses'!$Q$3+'AA Exact Masses'!$Q$3-'Mass Ion Calculations'!$E$5-'Mass Ion Calculations'!$E16)/2-'Mass Ion Calculations'!$D$5),IF('Mass Ion Calculations'!$D$7="Yes", ('Mass Ion Calculations'!$D$15+'AA Exact Masses'!$Q$3+'AA Exact Masses'!$Q$3-'Mass Ion Calculations'!$C$5-'Mass Ion Calculations'!$C16)/2-'Mass Ion Calculations'!$D$5,('Mass Ion Calculations'!$F$15+'AA Exact Masses'!$Q$3+'AA Exact Masses'!$Q$3-'Mass Ion Calculations'!$E$5-'Mass Ion Calculations'!$E16)/2-'Mass Ion Calculations'!$D$5)))</f>
        <v>-381.60573999999997</v>
      </c>
      <c r="D15" s="3">
        <f>IF(OR($B15="",D$3=""),"",IF('Mass Ion Calculations'!$D$6="Yes",IF('Mass Ion Calculations'!$D$7="Yes",('Mass Ion Calculations'!$D$18+'AA Exact Masses'!$Q$3+'AA Exact Masses'!$Q$3-'Mass Ion Calculations'!$C$6-'Mass Ion Calculations'!$C16)/2-'Mass Ion Calculations'!$D$5,('Mass Ion Calculations'!$F$18+'AA Exact Masses'!$Q$3+'AA Exact Masses'!$Q$3-'Mass Ion Calculations'!$E$6-'Mass Ion Calculations'!$E16)/2-'Mass Ion Calculations'!$D$5),IF('Mass Ion Calculations'!$D$7="Yes", ('Mass Ion Calculations'!$D$15+'AA Exact Masses'!$Q$3+'AA Exact Masses'!$Q$3-'Mass Ion Calculations'!$C$6-'Mass Ion Calculations'!$C16)/2-'Mass Ion Calculations'!$D$5,('Mass Ion Calculations'!$F$15+'AA Exact Masses'!$Q$3+'AA Exact Masses'!$Q$3-'Mass Ion Calculations'!$E$6-'Mass Ion Calculations'!$E16)/2-'Mass Ion Calculations'!$D$5)))</f>
        <v>-360.08463499999993</v>
      </c>
      <c r="E15" s="3">
        <f>IF(OR($B15="",E$3=""),"",IF('Mass Ion Calculations'!$D$6="Yes",IF('Mass Ion Calculations'!$D$7="Yes",('Mass Ion Calculations'!$D$18+'AA Exact Masses'!$Q$3+'AA Exact Masses'!$Q$3-'Mass Ion Calculations'!$C$7-'Mass Ion Calculations'!$C16)/2-'Mass Ion Calculations'!$D$5,('Mass Ion Calculations'!$F$18+'AA Exact Masses'!$Q$3+'AA Exact Masses'!$Q$3-'Mass Ion Calculations'!$E$7-'Mass Ion Calculations'!$E16)/2-'Mass Ion Calculations'!$D$5),IF('Mass Ion Calculations'!$D$7="Yes", ('Mass Ion Calculations'!$D$15+'AA Exact Masses'!$Q$3+'AA Exact Masses'!$Q$3-'Mass Ion Calculations'!$C$7-'Mass Ion Calculations'!$C16)/2-'Mass Ion Calculations'!$D$5,('Mass Ion Calculations'!$F$15+'AA Exact Masses'!$Q$3+'AA Exact Masses'!$Q$3-'Mass Ion Calculations'!$E$7-'Mass Ion Calculations'!$E16)/2-'Mass Ion Calculations'!$D$5)))</f>
        <v>-381.1081099999999</v>
      </c>
      <c r="F15" s="3">
        <f>IF(OR($B15="",F$3=""),"",IF('Mass Ion Calculations'!$D$6="Yes",IF('Mass Ion Calculations'!$D$7="Yes",('Mass Ion Calculations'!$D$18+'AA Exact Masses'!$Q$3+'AA Exact Masses'!$Q$3-'Mass Ion Calculations'!$C$8-'Mass Ion Calculations'!$C16)/2-'Mass Ion Calculations'!$D$5,('Mass Ion Calculations'!$F$18+'AA Exact Masses'!$Q$3+'AA Exact Masses'!$Q$3-'Mass Ion Calculations'!$E$8-'Mass Ion Calculations'!$E16)/2-'Mass Ion Calculations'!$D$5),IF('Mass Ion Calculations'!$D$7="Yes", ('Mass Ion Calculations'!$D$15+'AA Exact Masses'!$Q$3+'AA Exact Masses'!$Q$3-'Mass Ion Calculations'!$C$8-'Mass Ion Calculations'!$C16)/2-'Mass Ion Calculations'!$D$5,('Mass Ion Calculations'!$F$15+'AA Exact Masses'!$Q$3+'AA Exact Masses'!$Q$3-'Mass Ion Calculations'!$E$8-'Mass Ion Calculations'!$E16)/2-'Mass Ion Calculations'!$D$5)))</f>
        <v>-381.1081099999999</v>
      </c>
      <c r="G15" s="3">
        <f>IF(OR($B15="",G$3=""),"",IF('Mass Ion Calculations'!$D$6="Yes",IF('Mass Ion Calculations'!$D$7="Yes",('Mass Ion Calculations'!$D$18+'AA Exact Masses'!$Q$3+'AA Exact Masses'!$Q$3-'Mass Ion Calculations'!$C$9-'Mass Ion Calculations'!$C16)/2-'Mass Ion Calculations'!$D$5,('Mass Ion Calculations'!$F$18+'AA Exact Masses'!$Q$3+'AA Exact Masses'!$Q$3-'Mass Ion Calculations'!$E$9-'Mass Ion Calculations'!$E16)/2-'Mass Ion Calculations'!$D$5),IF('Mass Ion Calculations'!$D$7="Yes", ('Mass Ion Calculations'!$D$15+'AA Exact Masses'!$Q$3+'AA Exact Masses'!$Q$3-'Mass Ion Calculations'!$C$9-'Mass Ion Calculations'!$C16)/2-'Mass Ion Calculations'!$D$5,('Mass Ion Calculations'!$F$15+'AA Exact Masses'!$Q$3+'AA Exact Masses'!$Q$3-'Mass Ion Calculations'!$E$9-'Mass Ion Calculations'!$E16)/2-'Mass Ion Calculations'!$D$5)))</f>
        <v>-360.08463499999993</v>
      </c>
      <c r="H15" s="3">
        <f>IF(OR($B15="",H$3=""),"",IF('Mass Ion Calculations'!$D$6="Yes",IF('Mass Ion Calculations'!$D$7="Yes",('Mass Ion Calculations'!$D$18+'AA Exact Masses'!$Q$3+'AA Exact Masses'!$Q$3-'Mass Ion Calculations'!$C$10-'Mass Ion Calculations'!$C16)/2-'Mass Ion Calculations'!$D$5,('Mass Ion Calculations'!$F$18+'AA Exact Masses'!$Q$3+'AA Exact Masses'!$Q$3-'Mass Ion Calculations'!$E$10-'Mass Ion Calculations'!$E16)/2-'Mass Ion Calculations'!$D$5),IF('Mass Ion Calculations'!$D$7="Yes", ('Mass Ion Calculations'!$D$15+'AA Exact Masses'!$Q$3+'AA Exact Masses'!$Q$3-'Mass Ion Calculations'!$C$10-'Mass Ion Calculations'!$C16)/2-'Mass Ion Calculations'!$D$5,('Mass Ion Calculations'!$F$15+'AA Exact Masses'!$Q$3+'AA Exact Masses'!$Q$3-'Mass Ion Calculations'!$E$10-'Mass Ion Calculations'!$E16)/2-'Mass Ion Calculations'!$D$5)))</f>
        <v>-381.1081099999999</v>
      </c>
      <c r="I15" s="3">
        <f>IF(OR($B15="",I$3=""),"",IF('Mass Ion Calculations'!$D$6="Yes",IF('Mass Ion Calculations'!$D$7="Yes",('Mass Ion Calculations'!$D$18+'AA Exact Masses'!$Q$3+'AA Exact Masses'!$Q$3-'Mass Ion Calculations'!$C$11-'Mass Ion Calculations'!$C16)/2-'Mass Ion Calculations'!$D$5,('Mass Ion Calculations'!$F$18+'AA Exact Masses'!$Q$3+'AA Exact Masses'!$Q$3-'Mass Ion Calculations'!$E$11-'Mass Ion Calculations'!$E16)/2-'Mass Ion Calculations'!$D$5),IF('Mass Ion Calculations'!$D$7="Yes", ('Mass Ion Calculations'!$D$15+'AA Exact Masses'!$Q$3+'AA Exact Masses'!$Q$3-'Mass Ion Calculations'!$C$11-'Mass Ion Calculations'!$C16)/2-'Mass Ion Calculations'!$D$5,('Mass Ion Calculations'!$F$15+'AA Exact Masses'!$Q$3+'AA Exact Masses'!$Q$3-'Mass Ion Calculations'!$E$11-'Mass Ion Calculations'!$E16)/2-'Mass Ion Calculations'!$D$5)))</f>
        <v>-381.60573999999997</v>
      </c>
      <c r="J15" s="3">
        <f>IF(OR($B15="",J$3=""),"",IF('Mass Ion Calculations'!$D$6="Yes",IF('Mass Ion Calculations'!$D$7="Yes",('Mass Ion Calculations'!$D$18+'AA Exact Masses'!$Q$3+'AA Exact Masses'!$Q$3-'Mass Ion Calculations'!$C$12-'Mass Ion Calculations'!$C16)/2-'Mass Ion Calculations'!$D$5,('Mass Ion Calculations'!$F$18+'AA Exact Masses'!$Q$3+'AA Exact Masses'!$Q$3-'Mass Ion Calculations'!$E$12-'Mass Ion Calculations'!$E16)/2-'Mass Ion Calculations'!$D$5),IF('Mass Ion Calculations'!$D$7="Yes", ('Mass Ion Calculations'!$D$15+'AA Exact Masses'!$Q$3+'AA Exact Masses'!$Q$3-'Mass Ion Calculations'!$C$12-'Mass Ion Calculations'!$C16)/2-'Mass Ion Calculations'!$D$5,('Mass Ion Calculations'!$F$15+'AA Exact Masses'!$Q$3+'AA Exact Masses'!$Q$3-'Mass Ion Calculations'!$E$12-'Mass Ion Calculations'!$E16)/2-'Mass Ion Calculations'!$D$5)))</f>
        <v>-374.10028499999999</v>
      </c>
      <c r="K15" s="3">
        <f>IF(OR($B15="",K$3=""),"",IF('Mass Ion Calculations'!$D$6="Yes",IF('Mass Ion Calculations'!$D$7="Yes",('Mass Ion Calculations'!$D$18+'AA Exact Masses'!$Q$3+'AA Exact Masses'!$Q$3-'Mass Ion Calculations'!$C$13-'Mass Ion Calculations'!$C16)/2-'Mass Ion Calculations'!$D$5,('Mass Ion Calculations'!$F$18+'AA Exact Masses'!$Q$3+'AA Exact Masses'!$Q$3-'Mass Ion Calculations'!$E$13-'Mass Ion Calculations'!$E16)/2-'Mass Ion Calculations'!$D$5),IF('Mass Ion Calculations'!$D$7="Yes", ('Mass Ion Calculations'!$D$15+'AA Exact Masses'!$Q$3+'AA Exact Masses'!$Q$3-'Mass Ion Calculations'!$C$13-'Mass Ion Calculations'!$C16)/2-'Mass Ion Calculations'!$D$5,('Mass Ion Calculations'!$F$15+'AA Exact Masses'!$Q$3+'AA Exact Masses'!$Q$3-'Mass Ion Calculations'!$E$13-'Mass Ion Calculations'!$E16)/2-'Mass Ion Calculations'!$D$5)))</f>
        <v>-381.60573999999997</v>
      </c>
      <c r="L15" s="3">
        <f>IF(OR($B15="",L$3=""),"",IF('Mass Ion Calculations'!$D$6="Yes",IF('Mass Ion Calculations'!$D$7="Yes",('Mass Ion Calculations'!$D$18+'AA Exact Masses'!$Q$3+'AA Exact Masses'!$Q$3-'Mass Ion Calculations'!$C$14-'Mass Ion Calculations'!$C16)/2-'Mass Ion Calculations'!$D$5,('Mass Ion Calculations'!$F$18+'AA Exact Masses'!$Q$3+'AA Exact Masses'!$Q$3-'Mass Ion Calculations'!$E$14-'Mass Ion Calculations'!$E16)/2-'Mass Ion Calculations'!$D$5),IF('Mass Ion Calculations'!$D$7="Yes", ('Mass Ion Calculations'!$D$15+'AA Exact Masses'!$Q$3+'AA Exact Masses'!$Q$3-'Mass Ion Calculations'!$C$14-'Mass Ion Calculations'!$C16)/2-'Mass Ion Calculations'!$D$5,('Mass Ion Calculations'!$F$15+'AA Exact Masses'!$Q$3+'AA Exact Masses'!$Q$3-'Mass Ion Calculations'!$E$14-'Mass Ion Calculations'!$E16)/2-'Mass Ion Calculations'!$D$5)))</f>
        <v>-389.08737499999995</v>
      </c>
      <c r="M15" s="3">
        <f>IF(OR($B15="",M$3=""),"",IF('Mass Ion Calculations'!$D$6="Yes",IF('Mass Ion Calculations'!$D$7="Yes",('Mass Ion Calculations'!$D$18+'AA Exact Masses'!$Q$3+'AA Exact Masses'!$Q$3-'Mass Ion Calculations'!$C$15-'Mass Ion Calculations'!$C16)/2-'Mass Ion Calculations'!$D$5,('Mass Ion Calculations'!$F$18+'AA Exact Masses'!$Q$3+'AA Exact Masses'!$Q$3-'Mass Ion Calculations'!$E$15-'Mass Ion Calculations'!$E16)/2-'Mass Ion Calculations'!$D$5),IF('Mass Ion Calculations'!$D$7="Yes", ('Mass Ion Calculations'!$D$15+'AA Exact Masses'!$Q$3+'AA Exact Masses'!$Q$3-'Mass Ion Calculations'!$C$15-'Mass Ion Calculations'!$C16)/2-'Mass Ion Calculations'!$D$5,('Mass Ion Calculations'!$F$15+'AA Exact Masses'!$Q$3+'AA Exact Masses'!$Q$3-'Mass Ion Calculations'!$E$15-'Mass Ion Calculations'!$E16)/2-'Mass Ion Calculations'!$D$5)))</f>
        <v>-382.07954999999993</v>
      </c>
      <c r="N15" s="3">
        <f>IF(OR($B15="",N$3=""),"",IF('Mass Ion Calculations'!$D$6="Yes",IF('Mass Ion Calculations'!$D$7="Yes",('Mass Ion Calculations'!$D$18+'AA Exact Masses'!$Q$3+'AA Exact Masses'!$Q$3-'Mass Ion Calculations'!$C$16-'Mass Ion Calculations'!$C16)/2-'Mass Ion Calculations'!$D$5,('Mass Ion Calculations'!$F$18+'AA Exact Masses'!$Q$3+'AA Exact Masses'!$Q$3-'Mass Ion Calculations'!$E$16-'Mass Ion Calculations'!$E16)/2-'Mass Ion Calculations'!$D$5),IF('Mass Ion Calculations'!$D$7="Yes", ('Mass Ion Calculations'!$D$15+'AA Exact Masses'!$Q$3+'AA Exact Masses'!$Q$3-'Mass Ion Calculations'!$C$16-'Mass Ion Calculations'!$C16)/2-'Mass Ion Calculations'!$D$5,('Mass Ion Calculations'!$F$15+'AA Exact Masses'!$Q$3+'AA Exact Masses'!$Q$3-'Mass Ion Calculations'!$E$16-'Mass Ion Calculations'!$E16)/2-'Mass Ion Calculations'!$D$5)))</f>
        <v>-360.08463499999993</v>
      </c>
      <c r="O15" s="3">
        <f>IF(OR($B15="",O$3=""),"",IF('Mass Ion Calculations'!$D$6="Yes",IF('Mass Ion Calculations'!$D$7="Yes",('Mass Ion Calculations'!$D$18+'AA Exact Masses'!$Q$3+'AA Exact Masses'!$Q$3-'Mass Ion Calculations'!$C$17-'Mass Ion Calculations'!$C16)/2-'Mass Ion Calculations'!$D$5,('Mass Ion Calculations'!$F$18+'AA Exact Masses'!$Q$3+'AA Exact Masses'!$Q$3-'Mass Ion Calculations'!$E$17-'Mass Ion Calculations'!$E16)/2-'Mass Ion Calculations'!$D$5),IF('Mass Ion Calculations'!$D$7="Yes", ('Mass Ion Calculations'!$D$15+'AA Exact Masses'!$Q$3+'AA Exact Masses'!$Q$3-'Mass Ion Calculations'!$C$17-'Mass Ion Calculations'!$C16)/2-'Mass Ion Calculations'!$D$5,('Mass Ion Calculations'!$F$15+'AA Exact Masses'!$Q$3+'AA Exact Masses'!$Q$3-'Mass Ion Calculations'!$E$17-'Mass Ion Calculations'!$E16)/2-'Mass Ion Calculations'!$D$5)))</f>
        <v>-398.10028499999999</v>
      </c>
      <c r="P15" s="3">
        <f>IF(OR($B15="",P$3=""),"",IF('Mass Ion Calculations'!$D$6="Yes",IF('Mass Ion Calculations'!$D$7="Yes",('Mass Ion Calculations'!$D$18+'AA Exact Masses'!$Q$3+'AA Exact Masses'!$Q$3-'Mass Ion Calculations'!$C$18-'Mass Ion Calculations'!$C16)/2-'Mass Ion Calculations'!$D$5,('Mass Ion Calculations'!$F$18+'AA Exact Masses'!$Q$3+'AA Exact Masses'!$Q$3-'Mass Ion Calculations'!$E$18-'Mass Ion Calculations'!$E16)/2-'Mass Ion Calculations'!$D$5),IF('Mass Ion Calculations'!$D$7="Yes", ('Mass Ion Calculations'!$D$15+'AA Exact Masses'!$Q$3+'AA Exact Masses'!$Q$3-'Mass Ion Calculations'!$C$18-'Mass Ion Calculations'!$C16)/2-'Mass Ion Calculations'!$D$5,('Mass Ion Calculations'!$F$15+'AA Exact Masses'!$Q$3+'AA Exact Masses'!$Q$3-'Mass Ion Calculations'!$E$18-'Mass Ion Calculations'!$E16)/2-'Mass Ion Calculations'!$D$5)))</f>
        <v>-461.04860999999994</v>
      </c>
      <c r="Q15" s="3">
        <f>IF(OR($B15="",Q$3=""),"",IF('Mass Ion Calculations'!$D$6="Yes",IF('Mass Ion Calculations'!$D$7="Yes",('Mass Ion Calculations'!$D$18+'AA Exact Masses'!$Q$3+'AA Exact Masses'!$Q$3-'Mass Ion Calculations'!$C$19-'Mass Ion Calculations'!$C16)/2-'Mass Ion Calculations'!$D$5,('Mass Ion Calculations'!$F$18+'AA Exact Masses'!$Q$3+'AA Exact Masses'!$Q$3-'Mass Ion Calculations'!$E$19-'Mass Ion Calculations'!$E16)/2-'Mass Ion Calculations'!$D$5),IF('Mass Ion Calculations'!$D$7="Yes", ('Mass Ion Calculations'!$D$15+'AA Exact Masses'!$Q$3+'AA Exact Masses'!$Q$3-'Mass Ion Calculations'!$C$19-'Mass Ion Calculations'!$C16)/2-'Mass Ion Calculations'!$D$5,('Mass Ion Calculations'!$F$15+'AA Exact Masses'!$Q$3+'AA Exact Masses'!$Q$3-'Mass Ion Calculations'!$E$19-'Mass Ion Calculations'!$E16)/2-'Mass Ion Calculations'!$D$5)))</f>
        <v>-374.10028499999999</v>
      </c>
      <c r="R15" s="3">
        <f>IF(OR($B15="",R$3=""),"",IF('Mass Ion Calculations'!$D$6="Yes",IF('Mass Ion Calculations'!$D$7="Yes",('Mass Ion Calculations'!$D$18+'AA Exact Masses'!$Q$3+'AA Exact Masses'!$Q$3-'Mass Ion Calculations'!$C$20-'Mass Ion Calculations'!$C16)/2-'Mass Ion Calculations'!$D$5,('Mass Ion Calculations'!$F$18+'AA Exact Masses'!$Q$3+'AA Exact Masses'!$Q$3-'Mass Ion Calculations'!$E$20-'Mass Ion Calculations'!$E16)/2-'Mass Ion Calculations'!$D$5),IF('Mass Ion Calculations'!$D$7="Yes", ('Mass Ion Calculations'!$D$15+'AA Exact Masses'!$Q$3+'AA Exact Masses'!$Q$3-'Mass Ion Calculations'!$C$20-'Mass Ion Calculations'!$C16)/2-'Mass Ion Calculations'!$D$5,('Mass Ion Calculations'!$F$15+'AA Exact Masses'!$Q$3+'AA Exact Masses'!$Q$3-'Mass Ion Calculations'!$E$20-'Mass Ion Calculations'!$E16)/2-'Mass Ion Calculations'!$D$5)))</f>
        <v>-381.1081099999999</v>
      </c>
      <c r="S15" s="3" t="str">
        <f>IF(OR($B15="",S$3=""),"",IF('Mass Ion Calculations'!$D$6="Yes",IF('Mass Ion Calculations'!$D$7="Yes",('Mass Ion Calculations'!$D$18+'AA Exact Masses'!$Q$3+'AA Exact Masses'!$Q$3-'Mass Ion Calculations'!$C$21-'Mass Ion Calculations'!$C16)/2-'Mass Ion Calculations'!$D$5,('Mass Ion Calculations'!$F$18+'AA Exact Masses'!$Q$3+'AA Exact Masses'!$Q$3-'Mass Ion Calculations'!$E$21-'Mass Ion Calculations'!$E16)/2-'Mass Ion Calculations'!$D$5),IF('Mass Ion Calculations'!$D$7="Yes", ('Mass Ion Calculations'!$D$15+'AA Exact Masses'!$Q$3+'AA Exact Masses'!$Q$3-'Mass Ion Calculations'!$C$21-'Mass Ion Calculations'!$C16)/2-'Mass Ion Calculations'!$D$5,('Mass Ion Calculations'!$F$15+'AA Exact Masses'!$Q$3+'AA Exact Masses'!$Q$3-'Mass Ion Calculations'!$E$21-'Mass Ion Calculations'!$E16)/2-'Mass Ion Calculations'!$D$5)))</f>
        <v/>
      </c>
      <c r="T15" s="3" t="e">
        <f>IF(OR($B15="",T$3=""),"",IF('Mass Ion Calculations'!$D$6="Yes",IF('Mass Ion Calculations'!$D$7="Yes",('Mass Ion Calculations'!$D$18+'AA Exact Masses'!$Q$3+'AA Exact Masses'!$Q$3-'Mass Ion Calculations'!$C$22-'Mass Ion Calculations'!$C16)/2-'Mass Ion Calculations'!$D$5,('Mass Ion Calculations'!$F$18+'AA Exact Masses'!$Q$3+'AA Exact Masses'!$Q$3-'Mass Ion Calculations'!$E$22-'Mass Ion Calculations'!$E16)/2-'Mass Ion Calculations'!$D$5),IF('Mass Ion Calculations'!$D$7="Yes", ('Mass Ion Calculations'!$D$15+'AA Exact Masses'!$Q$3+'AA Exact Masses'!$Q$3-'Mass Ion Calculations'!$C$22-'Mass Ion Calculations'!$C16)/2-'Mass Ion Calculations'!$D$5,('Mass Ion Calculations'!$F$15+'AA Exact Masses'!$Q$3+'AA Exact Masses'!$Q$3-'Mass Ion Calculations'!$E$22-'Mass Ion Calculations'!$E16)/2-'Mass Ion Calculations'!$D$5)))</f>
        <v>#VALUE!</v>
      </c>
      <c r="U15" s="3" t="e">
        <f>IF(OR($B15="",U$3=""),"",IF('Mass Ion Calculations'!$D$6="Yes",IF('Mass Ion Calculations'!$D$7="Yes",('Mass Ion Calculations'!$D$18+'AA Exact Masses'!$Q$3+'AA Exact Masses'!$Q$3-'Mass Ion Calculations'!$C$23-'Mass Ion Calculations'!$C16)/2-'Mass Ion Calculations'!$D$5,('Mass Ion Calculations'!$F$18+'AA Exact Masses'!$Q$3+'AA Exact Masses'!$Q$3-'Mass Ion Calculations'!$E$23-'Mass Ion Calculations'!$E16)/2-'Mass Ion Calculations'!$D$5),IF('Mass Ion Calculations'!$D$7="Yes", ('Mass Ion Calculations'!$D$15+'AA Exact Masses'!$Q$3+'AA Exact Masses'!$Q$3-'Mass Ion Calculations'!$C$23-'Mass Ion Calculations'!$C16)/2-'Mass Ion Calculations'!$D$5,('Mass Ion Calculations'!$F$15+'AA Exact Masses'!$Q$3+'AA Exact Masses'!$Q$3-'Mass Ion Calculations'!$E$23-'Mass Ion Calculations'!$E16)/2-'Mass Ion Calculations'!$D$5)))</f>
        <v>#VALUE!</v>
      </c>
      <c r="V15" s="3" t="str">
        <f>IF(OR($B15="",V$3=""),"",IF('Mass Ion Calculations'!$D$6="Yes",IF('Mass Ion Calculations'!$D$7="Yes",('Mass Ion Calculations'!$D$18+'AA Exact Masses'!$Q$3+'AA Exact Masses'!$Q$3-'Mass Ion Calculations'!$C$24-'Mass Ion Calculations'!$C16)/2-'Mass Ion Calculations'!$D$5,('Mass Ion Calculations'!$F$18+'AA Exact Masses'!$Q$3+'AA Exact Masses'!$Q$3-'Mass Ion Calculations'!$E$24-'Mass Ion Calculations'!$E16)/2-'Mass Ion Calculations'!$D$5),IF('Mass Ion Calculations'!$D$7="Yes", ('Mass Ion Calculations'!$D$15+'AA Exact Masses'!$Q$3+'AA Exact Masses'!$Q$3-'Mass Ion Calculations'!$C$24-'Mass Ion Calculations'!$C16)/2-'Mass Ion Calculations'!$D$5,('Mass Ion Calculations'!$F$15+'AA Exact Masses'!$Q$3+'AA Exact Masses'!$Q$3-'Mass Ion Calculations'!$E$24-'Mass Ion Calculations'!$E16)/2-'Mass Ion Calculations'!$D$5)))</f>
        <v/>
      </c>
      <c r="W15" s="3" t="str">
        <f>IF(OR($B15="",W$3=""),"",IF('Mass Ion Calculations'!$D$6="Yes",IF('Mass Ion Calculations'!$D$7="Yes",('Mass Ion Calculations'!$D$18+'AA Exact Masses'!$Q$3+'AA Exact Masses'!$Q$3-'Mass Ion Calculations'!$C$25-'Mass Ion Calculations'!$C16)/2-'Mass Ion Calculations'!$D$5,('Mass Ion Calculations'!$F$18+'AA Exact Masses'!$Q$3+'AA Exact Masses'!$Q$3-'Mass Ion Calculations'!$E$25-'Mass Ion Calculations'!$E16)/2-'Mass Ion Calculations'!$D$5),IF('Mass Ion Calculations'!$D$7="Yes", ('Mass Ion Calculations'!$D$15+'AA Exact Masses'!$Q$3+'AA Exact Masses'!$Q$3-'Mass Ion Calculations'!$C$25-'Mass Ion Calculations'!$C16)/2-'Mass Ion Calculations'!$D$5,('Mass Ion Calculations'!$F$15+'AA Exact Masses'!$Q$3+'AA Exact Masses'!$Q$3-'Mass Ion Calculations'!$E$25-'Mass Ion Calculations'!$E16)/2-'Mass Ion Calculations'!$D$5)))</f>
        <v/>
      </c>
      <c r="X15" s="3" t="str">
        <f>IF(OR($B15="",X$3=""),"",IF('Mass Ion Calculations'!$D$6="Yes",IF('Mass Ion Calculations'!$D$7="Yes",('Mass Ion Calculations'!$D$18+'AA Exact Masses'!$Q$3+'AA Exact Masses'!$Q$3-'Mass Ion Calculations'!$C$26-'Mass Ion Calculations'!$C16)/2-'Mass Ion Calculations'!$D$5,('Mass Ion Calculations'!$F$18+'AA Exact Masses'!$Q$3+'AA Exact Masses'!$Q$3-'Mass Ion Calculations'!$E$26-'Mass Ion Calculations'!$E16)/2-'Mass Ion Calculations'!$D$5),IF('Mass Ion Calculations'!$D$7="Yes", ('Mass Ion Calculations'!$D$15+'AA Exact Masses'!$Q$3+'AA Exact Masses'!$Q$3-'Mass Ion Calculations'!$C$26-'Mass Ion Calculations'!$C16)/2-'Mass Ion Calculations'!$D$5,('Mass Ion Calculations'!$F$15+'AA Exact Masses'!$Q$3+'AA Exact Masses'!$Q$3-'Mass Ion Calculations'!$E$26-'Mass Ion Calculations'!$E16)/2-'Mass Ion Calculations'!$D$5)))</f>
        <v/>
      </c>
      <c r="Y15" s="3" t="str">
        <f>IF(OR($B15="",Y$3=""),"",IF('Mass Ion Calculations'!$D$6="Yes",IF('Mass Ion Calculations'!$D$7="Yes",('Mass Ion Calculations'!$D$18+'AA Exact Masses'!$Q$3+'AA Exact Masses'!$Q$3-'Mass Ion Calculations'!$C$27-'Mass Ion Calculations'!$C16)/2-'Mass Ion Calculations'!$D$5,('Mass Ion Calculations'!$F$18+'AA Exact Masses'!$Q$3+'AA Exact Masses'!$Q$3-'Mass Ion Calculations'!$E$27-'Mass Ion Calculations'!$E16)/2-'Mass Ion Calculations'!$D$5),IF('Mass Ion Calculations'!$D$7="Yes", ('Mass Ion Calculations'!$D$15+'AA Exact Masses'!$Q$3+'AA Exact Masses'!$Q$3-'Mass Ion Calculations'!$C$27-'Mass Ion Calculations'!$C16)/2-'Mass Ion Calculations'!$D$5,('Mass Ion Calculations'!$F$15+'AA Exact Masses'!$Q$3+'AA Exact Masses'!$Q$3-'Mass Ion Calculations'!$E$27-'Mass Ion Calculations'!$E16)/2-'Mass Ion Calculations'!$D$5)))</f>
        <v/>
      </c>
      <c r="Z15" s="3" t="str">
        <f>IF(OR($B15="",Z$3=""),"",IF('Mass Ion Calculations'!$D$6="Yes",IF('Mass Ion Calculations'!$D$7="Yes",('Mass Ion Calculations'!$D$18+'AA Exact Masses'!$Q$3+'AA Exact Masses'!$Q$3-'Mass Ion Calculations'!$C$28-'Mass Ion Calculations'!$C16)/2-'Mass Ion Calculations'!$D$5,('Mass Ion Calculations'!$F$18+'AA Exact Masses'!$Q$3+'AA Exact Masses'!$Q$3-'Mass Ion Calculations'!$E$28-'Mass Ion Calculations'!$E16)/2-'Mass Ion Calculations'!$D$5),IF('Mass Ion Calculations'!$D$7="Yes", ('Mass Ion Calculations'!$D$15+'AA Exact Masses'!$Q$3+'AA Exact Masses'!$Q$3-'Mass Ion Calculations'!$C$28-'Mass Ion Calculations'!$C16)/2-'Mass Ion Calculations'!$D$5,('Mass Ion Calculations'!$F$15+'AA Exact Masses'!$Q$3+'AA Exact Masses'!$Q$3-'Mass Ion Calculations'!$E$28-'Mass Ion Calculations'!$E16)/2-'Mass Ion Calculations'!$D$5)))</f>
        <v/>
      </c>
    </row>
    <row r="16" spans="2:26" x14ac:dyDescent="0.25">
      <c r="B16" s="4" t="str">
        <f>IF('Mass Ion Calculations'!B17="","", 'Mass Ion Calculations'!B17)</f>
        <v>Phe</v>
      </c>
      <c r="C16" s="3">
        <f>IF(OR($B16="",C$3=""),"",IF('Mass Ion Calculations'!$D$6="Yes",IF('Mass Ion Calculations'!$D$7="Yes",('Mass Ion Calculations'!$D$18+'AA Exact Masses'!$Q$3+'AA Exact Masses'!$Q$3-'Mass Ion Calculations'!$C$5-'Mass Ion Calculations'!$C17)/2-'Mass Ion Calculations'!$D$5,('Mass Ion Calculations'!$F$18+'AA Exact Masses'!$Q$3+'AA Exact Masses'!$Q$3-'Mass Ion Calculations'!$E$5-'Mass Ion Calculations'!$E17)/2-'Mass Ion Calculations'!$D$5),IF('Mass Ion Calculations'!$D$7="Yes", ('Mass Ion Calculations'!$D$15+'AA Exact Masses'!$Q$3+'AA Exact Masses'!$Q$3-'Mass Ion Calculations'!$C$5-'Mass Ion Calculations'!$C17)/2-'Mass Ion Calculations'!$D$5,('Mass Ion Calculations'!$F$15+'AA Exact Masses'!$Q$3+'AA Exact Masses'!$Q$3-'Mass Ion Calculations'!$E$5-'Mass Ion Calculations'!$E17)/2-'Mass Ion Calculations'!$D$5)))</f>
        <v>-419.62139000000002</v>
      </c>
      <c r="D16" s="3">
        <f>IF(OR($B16="",D$3=""),"",IF('Mass Ion Calculations'!$D$6="Yes",IF('Mass Ion Calculations'!$D$7="Yes",('Mass Ion Calculations'!$D$18+'AA Exact Masses'!$Q$3+'AA Exact Masses'!$Q$3-'Mass Ion Calculations'!$C$6-'Mass Ion Calculations'!$C17)/2-'Mass Ion Calculations'!$D$5,('Mass Ion Calculations'!$F$18+'AA Exact Masses'!$Q$3+'AA Exact Masses'!$Q$3-'Mass Ion Calculations'!$E$6-'Mass Ion Calculations'!$E17)/2-'Mass Ion Calculations'!$D$5),IF('Mass Ion Calculations'!$D$7="Yes", ('Mass Ion Calculations'!$D$15+'AA Exact Masses'!$Q$3+'AA Exact Masses'!$Q$3-'Mass Ion Calculations'!$C$6-'Mass Ion Calculations'!$C17)/2-'Mass Ion Calculations'!$D$5,('Mass Ion Calculations'!$F$15+'AA Exact Masses'!$Q$3+'AA Exact Masses'!$Q$3-'Mass Ion Calculations'!$E$6-'Mass Ion Calculations'!$E17)/2-'Mass Ion Calculations'!$D$5)))</f>
        <v>-398.10028499999999</v>
      </c>
      <c r="E16" s="3">
        <f>IF(OR($B16="",E$3=""),"",IF('Mass Ion Calculations'!$D$6="Yes",IF('Mass Ion Calculations'!$D$7="Yes",('Mass Ion Calculations'!$D$18+'AA Exact Masses'!$Q$3+'AA Exact Masses'!$Q$3-'Mass Ion Calculations'!$C$7-'Mass Ion Calculations'!$C17)/2-'Mass Ion Calculations'!$D$5,('Mass Ion Calculations'!$F$18+'AA Exact Masses'!$Q$3+'AA Exact Masses'!$Q$3-'Mass Ion Calculations'!$E$7-'Mass Ion Calculations'!$E17)/2-'Mass Ion Calculations'!$D$5),IF('Mass Ion Calculations'!$D$7="Yes", ('Mass Ion Calculations'!$D$15+'AA Exact Masses'!$Q$3+'AA Exact Masses'!$Q$3-'Mass Ion Calculations'!$C$7-'Mass Ion Calculations'!$C17)/2-'Mass Ion Calculations'!$D$5,('Mass Ion Calculations'!$F$15+'AA Exact Masses'!$Q$3+'AA Exact Masses'!$Q$3-'Mass Ion Calculations'!$E$7-'Mass Ion Calculations'!$E17)/2-'Mass Ion Calculations'!$D$5)))</f>
        <v>-419.12375999999995</v>
      </c>
      <c r="F16" s="3">
        <f>IF(OR($B16="",F$3=""),"",IF('Mass Ion Calculations'!$D$6="Yes",IF('Mass Ion Calculations'!$D$7="Yes",('Mass Ion Calculations'!$D$18+'AA Exact Masses'!$Q$3+'AA Exact Masses'!$Q$3-'Mass Ion Calculations'!$C$8-'Mass Ion Calculations'!$C17)/2-'Mass Ion Calculations'!$D$5,('Mass Ion Calculations'!$F$18+'AA Exact Masses'!$Q$3+'AA Exact Masses'!$Q$3-'Mass Ion Calculations'!$E$8-'Mass Ion Calculations'!$E17)/2-'Mass Ion Calculations'!$D$5),IF('Mass Ion Calculations'!$D$7="Yes", ('Mass Ion Calculations'!$D$15+'AA Exact Masses'!$Q$3+'AA Exact Masses'!$Q$3-'Mass Ion Calculations'!$C$8-'Mass Ion Calculations'!$C17)/2-'Mass Ion Calculations'!$D$5,('Mass Ion Calculations'!$F$15+'AA Exact Masses'!$Q$3+'AA Exact Masses'!$Q$3-'Mass Ion Calculations'!$E$8-'Mass Ion Calculations'!$E17)/2-'Mass Ion Calculations'!$D$5)))</f>
        <v>-419.12375999999995</v>
      </c>
      <c r="G16" s="3">
        <f>IF(OR($B16="",G$3=""),"",IF('Mass Ion Calculations'!$D$6="Yes",IF('Mass Ion Calculations'!$D$7="Yes",('Mass Ion Calculations'!$D$18+'AA Exact Masses'!$Q$3+'AA Exact Masses'!$Q$3-'Mass Ion Calculations'!$C$9-'Mass Ion Calculations'!$C17)/2-'Mass Ion Calculations'!$D$5,('Mass Ion Calculations'!$F$18+'AA Exact Masses'!$Q$3+'AA Exact Masses'!$Q$3-'Mass Ion Calculations'!$E$9-'Mass Ion Calculations'!$E17)/2-'Mass Ion Calculations'!$D$5),IF('Mass Ion Calculations'!$D$7="Yes", ('Mass Ion Calculations'!$D$15+'AA Exact Masses'!$Q$3+'AA Exact Masses'!$Q$3-'Mass Ion Calculations'!$C$9-'Mass Ion Calculations'!$C17)/2-'Mass Ion Calculations'!$D$5,('Mass Ion Calculations'!$F$15+'AA Exact Masses'!$Q$3+'AA Exact Masses'!$Q$3-'Mass Ion Calculations'!$E$9-'Mass Ion Calculations'!$E17)/2-'Mass Ion Calculations'!$D$5)))</f>
        <v>-398.10028499999999</v>
      </c>
      <c r="H16" s="3">
        <f>IF(OR($B16="",H$3=""),"",IF('Mass Ion Calculations'!$D$6="Yes",IF('Mass Ion Calculations'!$D$7="Yes",('Mass Ion Calculations'!$D$18+'AA Exact Masses'!$Q$3+'AA Exact Masses'!$Q$3-'Mass Ion Calculations'!$C$10-'Mass Ion Calculations'!$C17)/2-'Mass Ion Calculations'!$D$5,('Mass Ion Calculations'!$F$18+'AA Exact Masses'!$Q$3+'AA Exact Masses'!$Q$3-'Mass Ion Calculations'!$E$10-'Mass Ion Calculations'!$E17)/2-'Mass Ion Calculations'!$D$5),IF('Mass Ion Calculations'!$D$7="Yes", ('Mass Ion Calculations'!$D$15+'AA Exact Masses'!$Q$3+'AA Exact Masses'!$Q$3-'Mass Ion Calculations'!$C$10-'Mass Ion Calculations'!$C17)/2-'Mass Ion Calculations'!$D$5,('Mass Ion Calculations'!$F$15+'AA Exact Masses'!$Q$3+'AA Exact Masses'!$Q$3-'Mass Ion Calculations'!$E$10-'Mass Ion Calculations'!$E17)/2-'Mass Ion Calculations'!$D$5)))</f>
        <v>-419.12375999999995</v>
      </c>
      <c r="I16" s="3">
        <f>IF(OR($B16="",I$3=""),"",IF('Mass Ion Calculations'!$D$6="Yes",IF('Mass Ion Calculations'!$D$7="Yes",('Mass Ion Calculations'!$D$18+'AA Exact Masses'!$Q$3+'AA Exact Masses'!$Q$3-'Mass Ion Calculations'!$C$11-'Mass Ion Calculations'!$C17)/2-'Mass Ion Calculations'!$D$5,('Mass Ion Calculations'!$F$18+'AA Exact Masses'!$Q$3+'AA Exact Masses'!$Q$3-'Mass Ion Calculations'!$E$11-'Mass Ion Calculations'!$E17)/2-'Mass Ion Calculations'!$D$5),IF('Mass Ion Calculations'!$D$7="Yes", ('Mass Ion Calculations'!$D$15+'AA Exact Masses'!$Q$3+'AA Exact Masses'!$Q$3-'Mass Ion Calculations'!$C$11-'Mass Ion Calculations'!$C17)/2-'Mass Ion Calculations'!$D$5,('Mass Ion Calculations'!$F$15+'AA Exact Masses'!$Q$3+'AA Exact Masses'!$Q$3-'Mass Ion Calculations'!$E$11-'Mass Ion Calculations'!$E17)/2-'Mass Ion Calculations'!$D$5)))</f>
        <v>-419.62139000000002</v>
      </c>
      <c r="J16" s="3">
        <f>IF(OR($B16="",J$3=""),"",IF('Mass Ion Calculations'!$D$6="Yes",IF('Mass Ion Calculations'!$D$7="Yes",('Mass Ion Calculations'!$D$18+'AA Exact Masses'!$Q$3+'AA Exact Masses'!$Q$3-'Mass Ion Calculations'!$C$12-'Mass Ion Calculations'!$C17)/2-'Mass Ion Calculations'!$D$5,('Mass Ion Calculations'!$F$18+'AA Exact Masses'!$Q$3+'AA Exact Masses'!$Q$3-'Mass Ion Calculations'!$E$12-'Mass Ion Calculations'!$E17)/2-'Mass Ion Calculations'!$D$5),IF('Mass Ion Calculations'!$D$7="Yes", ('Mass Ion Calculations'!$D$15+'AA Exact Masses'!$Q$3+'AA Exact Masses'!$Q$3-'Mass Ion Calculations'!$C$12-'Mass Ion Calculations'!$C17)/2-'Mass Ion Calculations'!$D$5,('Mass Ion Calculations'!$F$15+'AA Exact Masses'!$Q$3+'AA Exact Masses'!$Q$3-'Mass Ion Calculations'!$E$12-'Mass Ion Calculations'!$E17)/2-'Mass Ion Calculations'!$D$5)))</f>
        <v>-412.11593500000004</v>
      </c>
      <c r="K16" s="3">
        <f>IF(OR($B16="",K$3=""),"",IF('Mass Ion Calculations'!$D$6="Yes",IF('Mass Ion Calculations'!$D$7="Yes",('Mass Ion Calculations'!$D$18+'AA Exact Masses'!$Q$3+'AA Exact Masses'!$Q$3-'Mass Ion Calculations'!$C$13-'Mass Ion Calculations'!$C17)/2-'Mass Ion Calculations'!$D$5,('Mass Ion Calculations'!$F$18+'AA Exact Masses'!$Q$3+'AA Exact Masses'!$Q$3-'Mass Ion Calculations'!$E$13-'Mass Ion Calculations'!$E17)/2-'Mass Ion Calculations'!$D$5),IF('Mass Ion Calculations'!$D$7="Yes", ('Mass Ion Calculations'!$D$15+'AA Exact Masses'!$Q$3+'AA Exact Masses'!$Q$3-'Mass Ion Calculations'!$C$13-'Mass Ion Calculations'!$C17)/2-'Mass Ion Calculations'!$D$5,('Mass Ion Calculations'!$F$15+'AA Exact Masses'!$Q$3+'AA Exact Masses'!$Q$3-'Mass Ion Calculations'!$E$13-'Mass Ion Calculations'!$E17)/2-'Mass Ion Calculations'!$D$5)))</f>
        <v>-419.62139000000002</v>
      </c>
      <c r="L16" s="3">
        <f>IF(OR($B16="",L$3=""),"",IF('Mass Ion Calculations'!$D$6="Yes",IF('Mass Ion Calculations'!$D$7="Yes",('Mass Ion Calculations'!$D$18+'AA Exact Masses'!$Q$3+'AA Exact Masses'!$Q$3-'Mass Ion Calculations'!$C$14-'Mass Ion Calculations'!$C17)/2-'Mass Ion Calculations'!$D$5,('Mass Ion Calculations'!$F$18+'AA Exact Masses'!$Q$3+'AA Exact Masses'!$Q$3-'Mass Ion Calculations'!$E$14-'Mass Ion Calculations'!$E17)/2-'Mass Ion Calculations'!$D$5),IF('Mass Ion Calculations'!$D$7="Yes", ('Mass Ion Calculations'!$D$15+'AA Exact Masses'!$Q$3+'AA Exact Masses'!$Q$3-'Mass Ion Calculations'!$C$14-'Mass Ion Calculations'!$C17)/2-'Mass Ion Calculations'!$D$5,('Mass Ion Calculations'!$F$15+'AA Exact Masses'!$Q$3+'AA Exact Masses'!$Q$3-'Mass Ion Calculations'!$E$14-'Mass Ion Calculations'!$E17)/2-'Mass Ion Calculations'!$D$5)))</f>
        <v>-427.103025</v>
      </c>
      <c r="M16" s="3">
        <f>IF(OR($B16="",M$3=""),"",IF('Mass Ion Calculations'!$D$6="Yes",IF('Mass Ion Calculations'!$D$7="Yes",('Mass Ion Calculations'!$D$18+'AA Exact Masses'!$Q$3+'AA Exact Masses'!$Q$3-'Mass Ion Calculations'!$C$15-'Mass Ion Calculations'!$C17)/2-'Mass Ion Calculations'!$D$5,('Mass Ion Calculations'!$F$18+'AA Exact Masses'!$Q$3+'AA Exact Masses'!$Q$3-'Mass Ion Calculations'!$E$15-'Mass Ion Calculations'!$E17)/2-'Mass Ion Calculations'!$D$5),IF('Mass Ion Calculations'!$D$7="Yes", ('Mass Ion Calculations'!$D$15+'AA Exact Masses'!$Q$3+'AA Exact Masses'!$Q$3-'Mass Ion Calculations'!$C$15-'Mass Ion Calculations'!$C17)/2-'Mass Ion Calculations'!$D$5,('Mass Ion Calculations'!$F$15+'AA Exact Masses'!$Q$3+'AA Exact Masses'!$Q$3-'Mass Ion Calculations'!$E$15-'Mass Ion Calculations'!$E17)/2-'Mass Ion Calculations'!$D$5)))</f>
        <v>-420.09519999999998</v>
      </c>
      <c r="N16" s="3">
        <f>IF(OR($B16="",N$3=""),"",IF('Mass Ion Calculations'!$D$6="Yes",IF('Mass Ion Calculations'!$D$7="Yes",('Mass Ion Calculations'!$D$18+'AA Exact Masses'!$Q$3+'AA Exact Masses'!$Q$3-'Mass Ion Calculations'!$C$16-'Mass Ion Calculations'!$C17)/2-'Mass Ion Calculations'!$D$5,('Mass Ion Calculations'!$F$18+'AA Exact Masses'!$Q$3+'AA Exact Masses'!$Q$3-'Mass Ion Calculations'!$E$16-'Mass Ion Calculations'!$E17)/2-'Mass Ion Calculations'!$D$5),IF('Mass Ion Calculations'!$D$7="Yes", ('Mass Ion Calculations'!$D$15+'AA Exact Masses'!$Q$3+'AA Exact Masses'!$Q$3-'Mass Ion Calculations'!$C$16-'Mass Ion Calculations'!$C17)/2-'Mass Ion Calculations'!$D$5,('Mass Ion Calculations'!$F$15+'AA Exact Masses'!$Q$3+'AA Exact Masses'!$Q$3-'Mass Ion Calculations'!$E$16-'Mass Ion Calculations'!$E17)/2-'Mass Ion Calculations'!$D$5)))</f>
        <v>-398.10028499999999</v>
      </c>
      <c r="O16" s="3">
        <f>IF(OR($B16="",O$3=""),"",IF('Mass Ion Calculations'!$D$6="Yes",IF('Mass Ion Calculations'!$D$7="Yes",('Mass Ion Calculations'!$D$18+'AA Exact Masses'!$Q$3+'AA Exact Masses'!$Q$3-'Mass Ion Calculations'!$C$17-'Mass Ion Calculations'!$C17)/2-'Mass Ion Calculations'!$D$5,('Mass Ion Calculations'!$F$18+'AA Exact Masses'!$Q$3+'AA Exact Masses'!$Q$3-'Mass Ion Calculations'!$E$17-'Mass Ion Calculations'!$E17)/2-'Mass Ion Calculations'!$D$5),IF('Mass Ion Calculations'!$D$7="Yes", ('Mass Ion Calculations'!$D$15+'AA Exact Masses'!$Q$3+'AA Exact Masses'!$Q$3-'Mass Ion Calculations'!$C$17-'Mass Ion Calculations'!$C17)/2-'Mass Ion Calculations'!$D$5,('Mass Ion Calculations'!$F$15+'AA Exact Masses'!$Q$3+'AA Exact Masses'!$Q$3-'Mass Ion Calculations'!$E$17-'Mass Ion Calculations'!$E17)/2-'Mass Ion Calculations'!$D$5)))</f>
        <v>-436.11593500000004</v>
      </c>
      <c r="P16" s="3">
        <f>IF(OR($B16="",P$3=""),"",IF('Mass Ion Calculations'!$D$6="Yes",IF('Mass Ion Calculations'!$D$7="Yes",('Mass Ion Calculations'!$D$18+'AA Exact Masses'!$Q$3+'AA Exact Masses'!$Q$3-'Mass Ion Calculations'!$C$18-'Mass Ion Calculations'!$C17)/2-'Mass Ion Calculations'!$D$5,('Mass Ion Calculations'!$F$18+'AA Exact Masses'!$Q$3+'AA Exact Masses'!$Q$3-'Mass Ion Calculations'!$E$18-'Mass Ion Calculations'!$E17)/2-'Mass Ion Calculations'!$D$5),IF('Mass Ion Calculations'!$D$7="Yes", ('Mass Ion Calculations'!$D$15+'AA Exact Masses'!$Q$3+'AA Exact Masses'!$Q$3-'Mass Ion Calculations'!$C$18-'Mass Ion Calculations'!$C17)/2-'Mass Ion Calculations'!$D$5,('Mass Ion Calculations'!$F$15+'AA Exact Masses'!$Q$3+'AA Exact Masses'!$Q$3-'Mass Ion Calculations'!$E$18-'Mass Ion Calculations'!$E17)/2-'Mass Ion Calculations'!$D$5)))</f>
        <v>-499.06425999999999</v>
      </c>
      <c r="Q16" s="3">
        <f>IF(OR($B16="",Q$3=""),"",IF('Mass Ion Calculations'!$D$6="Yes",IF('Mass Ion Calculations'!$D$7="Yes",('Mass Ion Calculations'!$D$18+'AA Exact Masses'!$Q$3+'AA Exact Masses'!$Q$3-'Mass Ion Calculations'!$C$19-'Mass Ion Calculations'!$C17)/2-'Mass Ion Calculations'!$D$5,('Mass Ion Calculations'!$F$18+'AA Exact Masses'!$Q$3+'AA Exact Masses'!$Q$3-'Mass Ion Calculations'!$E$19-'Mass Ion Calculations'!$E17)/2-'Mass Ion Calculations'!$D$5),IF('Mass Ion Calculations'!$D$7="Yes", ('Mass Ion Calculations'!$D$15+'AA Exact Masses'!$Q$3+'AA Exact Masses'!$Q$3-'Mass Ion Calculations'!$C$19-'Mass Ion Calculations'!$C17)/2-'Mass Ion Calculations'!$D$5,('Mass Ion Calculations'!$F$15+'AA Exact Masses'!$Q$3+'AA Exact Masses'!$Q$3-'Mass Ion Calculations'!$E$19-'Mass Ion Calculations'!$E17)/2-'Mass Ion Calculations'!$D$5)))</f>
        <v>-412.11593500000004</v>
      </c>
      <c r="R16" s="3">
        <f>IF(OR($B16="",R$3=""),"",IF('Mass Ion Calculations'!$D$6="Yes",IF('Mass Ion Calculations'!$D$7="Yes",('Mass Ion Calculations'!$D$18+'AA Exact Masses'!$Q$3+'AA Exact Masses'!$Q$3-'Mass Ion Calculations'!$C$20-'Mass Ion Calculations'!$C17)/2-'Mass Ion Calculations'!$D$5,('Mass Ion Calculations'!$F$18+'AA Exact Masses'!$Q$3+'AA Exact Masses'!$Q$3-'Mass Ion Calculations'!$E$20-'Mass Ion Calculations'!$E17)/2-'Mass Ion Calculations'!$D$5),IF('Mass Ion Calculations'!$D$7="Yes", ('Mass Ion Calculations'!$D$15+'AA Exact Masses'!$Q$3+'AA Exact Masses'!$Q$3-'Mass Ion Calculations'!$C$20-'Mass Ion Calculations'!$C17)/2-'Mass Ion Calculations'!$D$5,('Mass Ion Calculations'!$F$15+'AA Exact Masses'!$Q$3+'AA Exact Masses'!$Q$3-'Mass Ion Calculations'!$E$20-'Mass Ion Calculations'!$E17)/2-'Mass Ion Calculations'!$D$5)))</f>
        <v>-419.12375999999995</v>
      </c>
      <c r="S16" s="3" t="str">
        <f>IF(OR($B16="",S$3=""),"",IF('Mass Ion Calculations'!$D$6="Yes",IF('Mass Ion Calculations'!$D$7="Yes",('Mass Ion Calculations'!$D$18+'AA Exact Masses'!$Q$3+'AA Exact Masses'!$Q$3-'Mass Ion Calculations'!$C$21-'Mass Ion Calculations'!$C17)/2-'Mass Ion Calculations'!$D$5,('Mass Ion Calculations'!$F$18+'AA Exact Masses'!$Q$3+'AA Exact Masses'!$Q$3-'Mass Ion Calculations'!$E$21-'Mass Ion Calculations'!$E17)/2-'Mass Ion Calculations'!$D$5),IF('Mass Ion Calculations'!$D$7="Yes", ('Mass Ion Calculations'!$D$15+'AA Exact Masses'!$Q$3+'AA Exact Masses'!$Q$3-'Mass Ion Calculations'!$C$21-'Mass Ion Calculations'!$C17)/2-'Mass Ion Calculations'!$D$5,('Mass Ion Calculations'!$F$15+'AA Exact Masses'!$Q$3+'AA Exact Masses'!$Q$3-'Mass Ion Calculations'!$E$21-'Mass Ion Calculations'!$E17)/2-'Mass Ion Calculations'!$D$5)))</f>
        <v/>
      </c>
      <c r="T16" s="3" t="e">
        <f>IF(OR($B16="",T$3=""),"",IF('Mass Ion Calculations'!$D$6="Yes",IF('Mass Ion Calculations'!$D$7="Yes",('Mass Ion Calculations'!$D$18+'AA Exact Masses'!$Q$3+'AA Exact Masses'!$Q$3-'Mass Ion Calculations'!$C$22-'Mass Ion Calculations'!$C17)/2-'Mass Ion Calculations'!$D$5,('Mass Ion Calculations'!$F$18+'AA Exact Masses'!$Q$3+'AA Exact Masses'!$Q$3-'Mass Ion Calculations'!$E$22-'Mass Ion Calculations'!$E17)/2-'Mass Ion Calculations'!$D$5),IF('Mass Ion Calculations'!$D$7="Yes", ('Mass Ion Calculations'!$D$15+'AA Exact Masses'!$Q$3+'AA Exact Masses'!$Q$3-'Mass Ion Calculations'!$C$22-'Mass Ion Calculations'!$C17)/2-'Mass Ion Calculations'!$D$5,('Mass Ion Calculations'!$F$15+'AA Exact Masses'!$Q$3+'AA Exact Masses'!$Q$3-'Mass Ion Calculations'!$E$22-'Mass Ion Calculations'!$E17)/2-'Mass Ion Calculations'!$D$5)))</f>
        <v>#VALUE!</v>
      </c>
      <c r="U16" s="3" t="e">
        <f>IF(OR($B16="",U$3=""),"",IF('Mass Ion Calculations'!$D$6="Yes",IF('Mass Ion Calculations'!$D$7="Yes",('Mass Ion Calculations'!$D$18+'AA Exact Masses'!$Q$3+'AA Exact Masses'!$Q$3-'Mass Ion Calculations'!$C$23-'Mass Ion Calculations'!$C17)/2-'Mass Ion Calculations'!$D$5,('Mass Ion Calculations'!$F$18+'AA Exact Masses'!$Q$3+'AA Exact Masses'!$Q$3-'Mass Ion Calculations'!$E$23-'Mass Ion Calculations'!$E17)/2-'Mass Ion Calculations'!$D$5),IF('Mass Ion Calculations'!$D$7="Yes", ('Mass Ion Calculations'!$D$15+'AA Exact Masses'!$Q$3+'AA Exact Masses'!$Q$3-'Mass Ion Calculations'!$C$23-'Mass Ion Calculations'!$C17)/2-'Mass Ion Calculations'!$D$5,('Mass Ion Calculations'!$F$15+'AA Exact Masses'!$Q$3+'AA Exact Masses'!$Q$3-'Mass Ion Calculations'!$E$23-'Mass Ion Calculations'!$E17)/2-'Mass Ion Calculations'!$D$5)))</f>
        <v>#VALUE!</v>
      </c>
      <c r="V16" s="3" t="str">
        <f>IF(OR($B16="",V$3=""),"",IF('Mass Ion Calculations'!$D$6="Yes",IF('Mass Ion Calculations'!$D$7="Yes",('Mass Ion Calculations'!$D$18+'AA Exact Masses'!$Q$3+'AA Exact Masses'!$Q$3-'Mass Ion Calculations'!$C$24-'Mass Ion Calculations'!$C17)/2-'Mass Ion Calculations'!$D$5,('Mass Ion Calculations'!$F$18+'AA Exact Masses'!$Q$3+'AA Exact Masses'!$Q$3-'Mass Ion Calculations'!$E$24-'Mass Ion Calculations'!$E17)/2-'Mass Ion Calculations'!$D$5),IF('Mass Ion Calculations'!$D$7="Yes", ('Mass Ion Calculations'!$D$15+'AA Exact Masses'!$Q$3+'AA Exact Masses'!$Q$3-'Mass Ion Calculations'!$C$24-'Mass Ion Calculations'!$C17)/2-'Mass Ion Calculations'!$D$5,('Mass Ion Calculations'!$F$15+'AA Exact Masses'!$Q$3+'AA Exact Masses'!$Q$3-'Mass Ion Calculations'!$E$24-'Mass Ion Calculations'!$E17)/2-'Mass Ion Calculations'!$D$5)))</f>
        <v/>
      </c>
      <c r="W16" s="3" t="str">
        <f>IF(OR($B16="",W$3=""),"",IF('Mass Ion Calculations'!$D$6="Yes",IF('Mass Ion Calculations'!$D$7="Yes",('Mass Ion Calculations'!$D$18+'AA Exact Masses'!$Q$3+'AA Exact Masses'!$Q$3-'Mass Ion Calculations'!$C$25-'Mass Ion Calculations'!$C17)/2-'Mass Ion Calculations'!$D$5,('Mass Ion Calculations'!$F$18+'AA Exact Masses'!$Q$3+'AA Exact Masses'!$Q$3-'Mass Ion Calculations'!$E$25-'Mass Ion Calculations'!$E17)/2-'Mass Ion Calculations'!$D$5),IF('Mass Ion Calculations'!$D$7="Yes", ('Mass Ion Calculations'!$D$15+'AA Exact Masses'!$Q$3+'AA Exact Masses'!$Q$3-'Mass Ion Calculations'!$C$25-'Mass Ion Calculations'!$C17)/2-'Mass Ion Calculations'!$D$5,('Mass Ion Calculations'!$F$15+'AA Exact Masses'!$Q$3+'AA Exact Masses'!$Q$3-'Mass Ion Calculations'!$E$25-'Mass Ion Calculations'!$E17)/2-'Mass Ion Calculations'!$D$5)))</f>
        <v/>
      </c>
      <c r="X16" s="3" t="str">
        <f>IF(OR($B16="",X$3=""),"",IF('Mass Ion Calculations'!$D$6="Yes",IF('Mass Ion Calculations'!$D$7="Yes",('Mass Ion Calculations'!$D$18+'AA Exact Masses'!$Q$3+'AA Exact Masses'!$Q$3-'Mass Ion Calculations'!$C$26-'Mass Ion Calculations'!$C17)/2-'Mass Ion Calculations'!$D$5,('Mass Ion Calculations'!$F$18+'AA Exact Masses'!$Q$3+'AA Exact Masses'!$Q$3-'Mass Ion Calculations'!$E$26-'Mass Ion Calculations'!$E17)/2-'Mass Ion Calculations'!$D$5),IF('Mass Ion Calculations'!$D$7="Yes", ('Mass Ion Calculations'!$D$15+'AA Exact Masses'!$Q$3+'AA Exact Masses'!$Q$3-'Mass Ion Calculations'!$C$26-'Mass Ion Calculations'!$C17)/2-'Mass Ion Calculations'!$D$5,('Mass Ion Calculations'!$F$15+'AA Exact Masses'!$Q$3+'AA Exact Masses'!$Q$3-'Mass Ion Calculations'!$E$26-'Mass Ion Calculations'!$E17)/2-'Mass Ion Calculations'!$D$5)))</f>
        <v/>
      </c>
      <c r="Y16" s="3" t="str">
        <f>IF(OR($B16="",Y$3=""),"",IF('Mass Ion Calculations'!$D$6="Yes",IF('Mass Ion Calculations'!$D$7="Yes",('Mass Ion Calculations'!$D$18+'AA Exact Masses'!$Q$3+'AA Exact Masses'!$Q$3-'Mass Ion Calculations'!$C$27-'Mass Ion Calculations'!$C17)/2-'Mass Ion Calculations'!$D$5,('Mass Ion Calculations'!$F$18+'AA Exact Masses'!$Q$3+'AA Exact Masses'!$Q$3-'Mass Ion Calculations'!$E$27-'Mass Ion Calculations'!$E17)/2-'Mass Ion Calculations'!$D$5),IF('Mass Ion Calculations'!$D$7="Yes", ('Mass Ion Calculations'!$D$15+'AA Exact Masses'!$Q$3+'AA Exact Masses'!$Q$3-'Mass Ion Calculations'!$C$27-'Mass Ion Calculations'!$C17)/2-'Mass Ion Calculations'!$D$5,('Mass Ion Calculations'!$F$15+'AA Exact Masses'!$Q$3+'AA Exact Masses'!$Q$3-'Mass Ion Calculations'!$E$27-'Mass Ion Calculations'!$E17)/2-'Mass Ion Calculations'!$D$5)))</f>
        <v/>
      </c>
      <c r="Z16" s="3" t="str">
        <f>IF(OR($B16="",Z$3=""),"",IF('Mass Ion Calculations'!$D$6="Yes",IF('Mass Ion Calculations'!$D$7="Yes",('Mass Ion Calculations'!$D$18+'AA Exact Masses'!$Q$3+'AA Exact Masses'!$Q$3-'Mass Ion Calculations'!$C$28-'Mass Ion Calculations'!$C17)/2-'Mass Ion Calculations'!$D$5,('Mass Ion Calculations'!$F$18+'AA Exact Masses'!$Q$3+'AA Exact Masses'!$Q$3-'Mass Ion Calculations'!$E$28-'Mass Ion Calculations'!$E17)/2-'Mass Ion Calculations'!$D$5),IF('Mass Ion Calculations'!$D$7="Yes", ('Mass Ion Calculations'!$D$15+'AA Exact Masses'!$Q$3+'AA Exact Masses'!$Q$3-'Mass Ion Calculations'!$C$28-'Mass Ion Calculations'!$C17)/2-'Mass Ion Calculations'!$D$5,('Mass Ion Calculations'!$F$15+'AA Exact Masses'!$Q$3+'AA Exact Masses'!$Q$3-'Mass Ion Calculations'!$E$28-'Mass Ion Calculations'!$E17)/2-'Mass Ion Calculations'!$D$5)))</f>
        <v/>
      </c>
    </row>
    <row r="17" spans="2:26" x14ac:dyDescent="0.25">
      <c r="B17" s="4" t="str">
        <f>IF('Mass Ion Calculations'!B18="","", 'Mass Ion Calculations'!B18)</f>
        <v>Phe-I</v>
      </c>
      <c r="C17" s="3">
        <f>IF(OR($B17="",C$3=""),"",IF('Mass Ion Calculations'!$D$6="Yes",IF('Mass Ion Calculations'!$D$7="Yes",('Mass Ion Calculations'!$D$18+'AA Exact Masses'!$Q$3+'AA Exact Masses'!$Q$3-'Mass Ion Calculations'!$C$5-'Mass Ion Calculations'!$C18)/2-'Mass Ion Calculations'!$D$5,('Mass Ion Calculations'!$F$18+'AA Exact Masses'!$Q$3+'AA Exact Masses'!$Q$3-'Mass Ion Calculations'!$E$5-'Mass Ion Calculations'!$E18)/2-'Mass Ion Calculations'!$D$5),IF('Mass Ion Calculations'!$D$7="Yes", ('Mass Ion Calculations'!$D$15+'AA Exact Masses'!$Q$3+'AA Exact Masses'!$Q$3-'Mass Ion Calculations'!$C$5-'Mass Ion Calculations'!$C18)/2-'Mass Ion Calculations'!$D$5,('Mass Ion Calculations'!$F$15+'AA Exact Masses'!$Q$3+'AA Exact Masses'!$Q$3-'Mass Ion Calculations'!$E$5-'Mass Ion Calculations'!$E18)/2-'Mass Ion Calculations'!$D$5)))</f>
        <v>-482.56971499999997</v>
      </c>
      <c r="D17" s="3">
        <f>IF(OR($B17="",D$3=""),"",IF('Mass Ion Calculations'!$D$6="Yes",IF('Mass Ion Calculations'!$D$7="Yes",('Mass Ion Calculations'!$D$18+'AA Exact Masses'!$Q$3+'AA Exact Masses'!$Q$3-'Mass Ion Calculations'!$C$6-'Mass Ion Calculations'!$C18)/2-'Mass Ion Calculations'!$D$5,('Mass Ion Calculations'!$F$18+'AA Exact Masses'!$Q$3+'AA Exact Masses'!$Q$3-'Mass Ion Calculations'!$E$6-'Mass Ion Calculations'!$E18)/2-'Mass Ion Calculations'!$D$5),IF('Mass Ion Calculations'!$D$7="Yes", ('Mass Ion Calculations'!$D$15+'AA Exact Masses'!$Q$3+'AA Exact Masses'!$Q$3-'Mass Ion Calculations'!$C$6-'Mass Ion Calculations'!$C18)/2-'Mass Ion Calculations'!$D$5,('Mass Ion Calculations'!$F$15+'AA Exact Masses'!$Q$3+'AA Exact Masses'!$Q$3-'Mass Ion Calculations'!$E$6-'Mass Ion Calculations'!$E18)/2-'Mass Ion Calculations'!$D$5)))</f>
        <v>-461.04860999999994</v>
      </c>
      <c r="E17" s="3">
        <f>IF(OR($B17="",E$3=""),"",IF('Mass Ion Calculations'!$D$6="Yes",IF('Mass Ion Calculations'!$D$7="Yes",('Mass Ion Calculations'!$D$18+'AA Exact Masses'!$Q$3+'AA Exact Masses'!$Q$3-'Mass Ion Calculations'!$C$7-'Mass Ion Calculations'!$C18)/2-'Mass Ion Calculations'!$D$5,('Mass Ion Calculations'!$F$18+'AA Exact Masses'!$Q$3+'AA Exact Masses'!$Q$3-'Mass Ion Calculations'!$E$7-'Mass Ion Calculations'!$E18)/2-'Mass Ion Calculations'!$D$5),IF('Mass Ion Calculations'!$D$7="Yes", ('Mass Ion Calculations'!$D$15+'AA Exact Masses'!$Q$3+'AA Exact Masses'!$Q$3-'Mass Ion Calculations'!$C$7-'Mass Ion Calculations'!$C18)/2-'Mass Ion Calculations'!$D$5,('Mass Ion Calculations'!$F$15+'AA Exact Masses'!$Q$3+'AA Exact Masses'!$Q$3-'Mass Ion Calculations'!$E$7-'Mass Ion Calculations'!$E18)/2-'Mass Ion Calculations'!$D$5)))</f>
        <v>-482.0720849999999</v>
      </c>
      <c r="F17" s="3">
        <f>IF(OR($B17="",F$3=""),"",IF('Mass Ion Calculations'!$D$6="Yes",IF('Mass Ion Calculations'!$D$7="Yes",('Mass Ion Calculations'!$D$18+'AA Exact Masses'!$Q$3+'AA Exact Masses'!$Q$3-'Mass Ion Calculations'!$C$8-'Mass Ion Calculations'!$C18)/2-'Mass Ion Calculations'!$D$5,('Mass Ion Calculations'!$F$18+'AA Exact Masses'!$Q$3+'AA Exact Masses'!$Q$3-'Mass Ion Calculations'!$E$8-'Mass Ion Calculations'!$E18)/2-'Mass Ion Calculations'!$D$5),IF('Mass Ion Calculations'!$D$7="Yes", ('Mass Ion Calculations'!$D$15+'AA Exact Masses'!$Q$3+'AA Exact Masses'!$Q$3-'Mass Ion Calculations'!$C$8-'Mass Ion Calculations'!$C18)/2-'Mass Ion Calculations'!$D$5,('Mass Ion Calculations'!$F$15+'AA Exact Masses'!$Q$3+'AA Exact Masses'!$Q$3-'Mass Ion Calculations'!$E$8-'Mass Ion Calculations'!$E18)/2-'Mass Ion Calculations'!$D$5)))</f>
        <v>-482.0720849999999</v>
      </c>
      <c r="G17" s="3">
        <f>IF(OR($B17="",G$3=""),"",IF('Mass Ion Calculations'!$D$6="Yes",IF('Mass Ion Calculations'!$D$7="Yes",('Mass Ion Calculations'!$D$18+'AA Exact Masses'!$Q$3+'AA Exact Masses'!$Q$3-'Mass Ion Calculations'!$C$9-'Mass Ion Calculations'!$C18)/2-'Mass Ion Calculations'!$D$5,('Mass Ion Calculations'!$F$18+'AA Exact Masses'!$Q$3+'AA Exact Masses'!$Q$3-'Mass Ion Calculations'!$E$9-'Mass Ion Calculations'!$E18)/2-'Mass Ion Calculations'!$D$5),IF('Mass Ion Calculations'!$D$7="Yes", ('Mass Ion Calculations'!$D$15+'AA Exact Masses'!$Q$3+'AA Exact Masses'!$Q$3-'Mass Ion Calculations'!$C$9-'Mass Ion Calculations'!$C18)/2-'Mass Ion Calculations'!$D$5,('Mass Ion Calculations'!$F$15+'AA Exact Masses'!$Q$3+'AA Exact Masses'!$Q$3-'Mass Ion Calculations'!$E$9-'Mass Ion Calculations'!$E18)/2-'Mass Ion Calculations'!$D$5)))</f>
        <v>-461.04860999999994</v>
      </c>
      <c r="H17" s="3">
        <f>IF(OR($B17="",H$3=""),"",IF('Mass Ion Calculations'!$D$6="Yes",IF('Mass Ion Calculations'!$D$7="Yes",('Mass Ion Calculations'!$D$18+'AA Exact Masses'!$Q$3+'AA Exact Masses'!$Q$3-'Mass Ion Calculations'!$C$10-'Mass Ion Calculations'!$C18)/2-'Mass Ion Calculations'!$D$5,('Mass Ion Calculations'!$F$18+'AA Exact Masses'!$Q$3+'AA Exact Masses'!$Q$3-'Mass Ion Calculations'!$E$10-'Mass Ion Calculations'!$E18)/2-'Mass Ion Calculations'!$D$5),IF('Mass Ion Calculations'!$D$7="Yes", ('Mass Ion Calculations'!$D$15+'AA Exact Masses'!$Q$3+'AA Exact Masses'!$Q$3-'Mass Ion Calculations'!$C$10-'Mass Ion Calculations'!$C18)/2-'Mass Ion Calculations'!$D$5,('Mass Ion Calculations'!$F$15+'AA Exact Masses'!$Q$3+'AA Exact Masses'!$Q$3-'Mass Ion Calculations'!$E$10-'Mass Ion Calculations'!$E18)/2-'Mass Ion Calculations'!$D$5)))</f>
        <v>-482.0720849999999</v>
      </c>
      <c r="I17" s="3">
        <f>IF(OR($B17="",I$3=""),"",IF('Mass Ion Calculations'!$D$6="Yes",IF('Mass Ion Calculations'!$D$7="Yes",('Mass Ion Calculations'!$D$18+'AA Exact Masses'!$Q$3+'AA Exact Masses'!$Q$3-'Mass Ion Calculations'!$C$11-'Mass Ion Calculations'!$C18)/2-'Mass Ion Calculations'!$D$5,('Mass Ion Calculations'!$F$18+'AA Exact Masses'!$Q$3+'AA Exact Masses'!$Q$3-'Mass Ion Calculations'!$E$11-'Mass Ion Calculations'!$E18)/2-'Mass Ion Calculations'!$D$5),IF('Mass Ion Calculations'!$D$7="Yes", ('Mass Ion Calculations'!$D$15+'AA Exact Masses'!$Q$3+'AA Exact Masses'!$Q$3-'Mass Ion Calculations'!$C$11-'Mass Ion Calculations'!$C18)/2-'Mass Ion Calculations'!$D$5,('Mass Ion Calculations'!$F$15+'AA Exact Masses'!$Q$3+'AA Exact Masses'!$Q$3-'Mass Ion Calculations'!$E$11-'Mass Ion Calculations'!$E18)/2-'Mass Ion Calculations'!$D$5)))</f>
        <v>-482.56971499999997</v>
      </c>
      <c r="J17" s="3">
        <f>IF(OR($B17="",J$3=""),"",IF('Mass Ion Calculations'!$D$6="Yes",IF('Mass Ion Calculations'!$D$7="Yes",('Mass Ion Calculations'!$D$18+'AA Exact Masses'!$Q$3+'AA Exact Masses'!$Q$3-'Mass Ion Calculations'!$C$12-'Mass Ion Calculations'!$C18)/2-'Mass Ion Calculations'!$D$5,('Mass Ion Calculations'!$F$18+'AA Exact Masses'!$Q$3+'AA Exact Masses'!$Q$3-'Mass Ion Calculations'!$E$12-'Mass Ion Calculations'!$E18)/2-'Mass Ion Calculations'!$D$5),IF('Mass Ion Calculations'!$D$7="Yes", ('Mass Ion Calculations'!$D$15+'AA Exact Masses'!$Q$3+'AA Exact Masses'!$Q$3-'Mass Ion Calculations'!$C$12-'Mass Ion Calculations'!$C18)/2-'Mass Ion Calculations'!$D$5,('Mass Ion Calculations'!$F$15+'AA Exact Masses'!$Q$3+'AA Exact Masses'!$Q$3-'Mass Ion Calculations'!$E$12-'Mass Ion Calculations'!$E18)/2-'Mass Ion Calculations'!$D$5)))</f>
        <v>-475.06425999999999</v>
      </c>
      <c r="K17" s="3">
        <f>IF(OR($B17="",K$3=""),"",IF('Mass Ion Calculations'!$D$6="Yes",IF('Mass Ion Calculations'!$D$7="Yes",('Mass Ion Calculations'!$D$18+'AA Exact Masses'!$Q$3+'AA Exact Masses'!$Q$3-'Mass Ion Calculations'!$C$13-'Mass Ion Calculations'!$C18)/2-'Mass Ion Calculations'!$D$5,('Mass Ion Calculations'!$F$18+'AA Exact Masses'!$Q$3+'AA Exact Masses'!$Q$3-'Mass Ion Calculations'!$E$13-'Mass Ion Calculations'!$E18)/2-'Mass Ion Calculations'!$D$5),IF('Mass Ion Calculations'!$D$7="Yes", ('Mass Ion Calculations'!$D$15+'AA Exact Masses'!$Q$3+'AA Exact Masses'!$Q$3-'Mass Ion Calculations'!$C$13-'Mass Ion Calculations'!$C18)/2-'Mass Ion Calculations'!$D$5,('Mass Ion Calculations'!$F$15+'AA Exact Masses'!$Q$3+'AA Exact Masses'!$Q$3-'Mass Ion Calculations'!$E$13-'Mass Ion Calculations'!$E18)/2-'Mass Ion Calculations'!$D$5)))</f>
        <v>-482.56971499999997</v>
      </c>
      <c r="L17" s="3">
        <f>IF(OR($B17="",L$3=""),"",IF('Mass Ion Calculations'!$D$6="Yes",IF('Mass Ion Calculations'!$D$7="Yes",('Mass Ion Calculations'!$D$18+'AA Exact Masses'!$Q$3+'AA Exact Masses'!$Q$3-'Mass Ion Calculations'!$C$14-'Mass Ion Calculations'!$C18)/2-'Mass Ion Calculations'!$D$5,('Mass Ion Calculations'!$F$18+'AA Exact Masses'!$Q$3+'AA Exact Masses'!$Q$3-'Mass Ion Calculations'!$E$14-'Mass Ion Calculations'!$E18)/2-'Mass Ion Calculations'!$D$5),IF('Mass Ion Calculations'!$D$7="Yes", ('Mass Ion Calculations'!$D$15+'AA Exact Masses'!$Q$3+'AA Exact Masses'!$Q$3-'Mass Ion Calculations'!$C$14-'Mass Ion Calculations'!$C18)/2-'Mass Ion Calculations'!$D$5,('Mass Ion Calculations'!$F$15+'AA Exact Masses'!$Q$3+'AA Exact Masses'!$Q$3-'Mass Ion Calculations'!$E$14-'Mass Ion Calculations'!$E18)/2-'Mass Ion Calculations'!$D$5)))</f>
        <v>-490.05134999999996</v>
      </c>
      <c r="M17" s="3">
        <f>IF(OR($B17="",M$3=""),"",IF('Mass Ion Calculations'!$D$6="Yes",IF('Mass Ion Calculations'!$D$7="Yes",('Mass Ion Calculations'!$D$18+'AA Exact Masses'!$Q$3+'AA Exact Masses'!$Q$3-'Mass Ion Calculations'!$C$15-'Mass Ion Calculations'!$C18)/2-'Mass Ion Calculations'!$D$5,('Mass Ion Calculations'!$F$18+'AA Exact Masses'!$Q$3+'AA Exact Masses'!$Q$3-'Mass Ion Calculations'!$E$15-'Mass Ion Calculations'!$E18)/2-'Mass Ion Calculations'!$D$5),IF('Mass Ion Calculations'!$D$7="Yes", ('Mass Ion Calculations'!$D$15+'AA Exact Masses'!$Q$3+'AA Exact Masses'!$Q$3-'Mass Ion Calculations'!$C$15-'Mass Ion Calculations'!$C18)/2-'Mass Ion Calculations'!$D$5,('Mass Ion Calculations'!$F$15+'AA Exact Masses'!$Q$3+'AA Exact Masses'!$Q$3-'Mass Ion Calculations'!$E$15-'Mass Ion Calculations'!$E18)/2-'Mass Ion Calculations'!$D$5)))</f>
        <v>-483.04352499999993</v>
      </c>
      <c r="N17" s="3">
        <f>IF(OR($B17="",N$3=""),"",IF('Mass Ion Calculations'!$D$6="Yes",IF('Mass Ion Calculations'!$D$7="Yes",('Mass Ion Calculations'!$D$18+'AA Exact Masses'!$Q$3+'AA Exact Masses'!$Q$3-'Mass Ion Calculations'!$C$16-'Mass Ion Calculations'!$C18)/2-'Mass Ion Calculations'!$D$5,('Mass Ion Calculations'!$F$18+'AA Exact Masses'!$Q$3+'AA Exact Masses'!$Q$3-'Mass Ion Calculations'!$E$16-'Mass Ion Calculations'!$E18)/2-'Mass Ion Calculations'!$D$5),IF('Mass Ion Calculations'!$D$7="Yes", ('Mass Ion Calculations'!$D$15+'AA Exact Masses'!$Q$3+'AA Exact Masses'!$Q$3-'Mass Ion Calculations'!$C$16-'Mass Ion Calculations'!$C18)/2-'Mass Ion Calculations'!$D$5,('Mass Ion Calculations'!$F$15+'AA Exact Masses'!$Q$3+'AA Exact Masses'!$Q$3-'Mass Ion Calculations'!$E$16-'Mass Ion Calculations'!$E18)/2-'Mass Ion Calculations'!$D$5)))</f>
        <v>-461.04860999999994</v>
      </c>
      <c r="O17" s="3">
        <f>IF(OR($B17="",O$3=""),"",IF('Mass Ion Calculations'!$D$6="Yes",IF('Mass Ion Calculations'!$D$7="Yes",('Mass Ion Calculations'!$D$18+'AA Exact Masses'!$Q$3+'AA Exact Masses'!$Q$3-'Mass Ion Calculations'!$C$17-'Mass Ion Calculations'!$C18)/2-'Mass Ion Calculations'!$D$5,('Mass Ion Calculations'!$F$18+'AA Exact Masses'!$Q$3+'AA Exact Masses'!$Q$3-'Mass Ion Calculations'!$E$17-'Mass Ion Calculations'!$E18)/2-'Mass Ion Calculations'!$D$5),IF('Mass Ion Calculations'!$D$7="Yes", ('Mass Ion Calculations'!$D$15+'AA Exact Masses'!$Q$3+'AA Exact Masses'!$Q$3-'Mass Ion Calculations'!$C$17-'Mass Ion Calculations'!$C18)/2-'Mass Ion Calculations'!$D$5,('Mass Ion Calculations'!$F$15+'AA Exact Masses'!$Q$3+'AA Exact Masses'!$Q$3-'Mass Ion Calculations'!$E$17-'Mass Ion Calculations'!$E18)/2-'Mass Ion Calculations'!$D$5)))</f>
        <v>-499.06425999999999</v>
      </c>
      <c r="P17" s="3">
        <f>IF(OR($B17="",P$3=""),"",IF('Mass Ion Calculations'!$D$6="Yes",IF('Mass Ion Calculations'!$D$7="Yes",('Mass Ion Calculations'!$D$18+'AA Exact Masses'!$Q$3+'AA Exact Masses'!$Q$3-'Mass Ion Calculations'!$C$18-'Mass Ion Calculations'!$C18)/2-'Mass Ion Calculations'!$D$5,('Mass Ion Calculations'!$F$18+'AA Exact Masses'!$Q$3+'AA Exact Masses'!$Q$3-'Mass Ion Calculations'!$E$18-'Mass Ion Calculations'!$E18)/2-'Mass Ion Calculations'!$D$5),IF('Mass Ion Calculations'!$D$7="Yes", ('Mass Ion Calculations'!$D$15+'AA Exact Masses'!$Q$3+'AA Exact Masses'!$Q$3-'Mass Ion Calculations'!$C$18-'Mass Ion Calculations'!$C18)/2-'Mass Ion Calculations'!$D$5,('Mass Ion Calculations'!$F$15+'AA Exact Masses'!$Q$3+'AA Exact Masses'!$Q$3-'Mass Ion Calculations'!$E$18-'Mass Ion Calculations'!$E18)/2-'Mass Ion Calculations'!$D$5)))</f>
        <v>-562.01258499999994</v>
      </c>
      <c r="Q17" s="3">
        <f>IF(OR($B17="",Q$3=""),"",IF('Mass Ion Calculations'!$D$6="Yes",IF('Mass Ion Calculations'!$D$7="Yes",('Mass Ion Calculations'!$D$18+'AA Exact Masses'!$Q$3+'AA Exact Masses'!$Q$3-'Mass Ion Calculations'!$C$19-'Mass Ion Calculations'!$C18)/2-'Mass Ion Calculations'!$D$5,('Mass Ion Calculations'!$F$18+'AA Exact Masses'!$Q$3+'AA Exact Masses'!$Q$3-'Mass Ion Calculations'!$E$19-'Mass Ion Calculations'!$E18)/2-'Mass Ion Calculations'!$D$5),IF('Mass Ion Calculations'!$D$7="Yes", ('Mass Ion Calculations'!$D$15+'AA Exact Masses'!$Q$3+'AA Exact Masses'!$Q$3-'Mass Ion Calculations'!$C$19-'Mass Ion Calculations'!$C18)/2-'Mass Ion Calculations'!$D$5,('Mass Ion Calculations'!$F$15+'AA Exact Masses'!$Q$3+'AA Exact Masses'!$Q$3-'Mass Ion Calculations'!$E$19-'Mass Ion Calculations'!$E18)/2-'Mass Ion Calculations'!$D$5)))</f>
        <v>-475.06425999999999</v>
      </c>
      <c r="R17" s="3">
        <f>IF(OR($B17="",R$3=""),"",IF('Mass Ion Calculations'!$D$6="Yes",IF('Mass Ion Calculations'!$D$7="Yes",('Mass Ion Calculations'!$D$18+'AA Exact Masses'!$Q$3+'AA Exact Masses'!$Q$3-'Mass Ion Calculations'!$C$20-'Mass Ion Calculations'!$C18)/2-'Mass Ion Calculations'!$D$5,('Mass Ion Calculations'!$F$18+'AA Exact Masses'!$Q$3+'AA Exact Masses'!$Q$3-'Mass Ion Calculations'!$E$20-'Mass Ion Calculations'!$E18)/2-'Mass Ion Calculations'!$D$5),IF('Mass Ion Calculations'!$D$7="Yes", ('Mass Ion Calculations'!$D$15+'AA Exact Masses'!$Q$3+'AA Exact Masses'!$Q$3-'Mass Ion Calculations'!$C$20-'Mass Ion Calculations'!$C18)/2-'Mass Ion Calculations'!$D$5,('Mass Ion Calculations'!$F$15+'AA Exact Masses'!$Q$3+'AA Exact Masses'!$Q$3-'Mass Ion Calculations'!$E$20-'Mass Ion Calculations'!$E18)/2-'Mass Ion Calculations'!$D$5)))</f>
        <v>-482.0720849999999</v>
      </c>
      <c r="S17" s="3" t="str">
        <f>IF(OR($B17="",S$3=""),"",IF('Mass Ion Calculations'!$D$6="Yes",IF('Mass Ion Calculations'!$D$7="Yes",('Mass Ion Calculations'!$D$18+'AA Exact Masses'!$Q$3+'AA Exact Masses'!$Q$3-'Mass Ion Calculations'!$C$21-'Mass Ion Calculations'!$C18)/2-'Mass Ion Calculations'!$D$5,('Mass Ion Calculations'!$F$18+'AA Exact Masses'!$Q$3+'AA Exact Masses'!$Q$3-'Mass Ion Calculations'!$E$21-'Mass Ion Calculations'!$E18)/2-'Mass Ion Calculations'!$D$5),IF('Mass Ion Calculations'!$D$7="Yes", ('Mass Ion Calculations'!$D$15+'AA Exact Masses'!$Q$3+'AA Exact Masses'!$Q$3-'Mass Ion Calculations'!$C$21-'Mass Ion Calculations'!$C18)/2-'Mass Ion Calculations'!$D$5,('Mass Ion Calculations'!$F$15+'AA Exact Masses'!$Q$3+'AA Exact Masses'!$Q$3-'Mass Ion Calculations'!$E$21-'Mass Ion Calculations'!$E18)/2-'Mass Ion Calculations'!$D$5)))</f>
        <v/>
      </c>
      <c r="T17" s="3" t="e">
        <f>IF(OR($B17="",T$3=""),"",IF('Mass Ion Calculations'!$D$6="Yes",IF('Mass Ion Calculations'!$D$7="Yes",('Mass Ion Calculations'!$D$18+'AA Exact Masses'!$Q$3+'AA Exact Masses'!$Q$3-'Mass Ion Calculations'!$C$22-'Mass Ion Calculations'!$C18)/2-'Mass Ion Calculations'!$D$5,('Mass Ion Calculations'!$F$18+'AA Exact Masses'!$Q$3+'AA Exact Masses'!$Q$3-'Mass Ion Calculations'!$E$22-'Mass Ion Calculations'!$E18)/2-'Mass Ion Calculations'!$D$5),IF('Mass Ion Calculations'!$D$7="Yes", ('Mass Ion Calculations'!$D$15+'AA Exact Masses'!$Q$3+'AA Exact Masses'!$Q$3-'Mass Ion Calculations'!$C$22-'Mass Ion Calculations'!$C18)/2-'Mass Ion Calculations'!$D$5,('Mass Ion Calculations'!$F$15+'AA Exact Masses'!$Q$3+'AA Exact Masses'!$Q$3-'Mass Ion Calculations'!$E$22-'Mass Ion Calculations'!$E18)/2-'Mass Ion Calculations'!$D$5)))</f>
        <v>#VALUE!</v>
      </c>
      <c r="U17" s="3" t="e">
        <f>IF(OR($B17="",U$3=""),"",IF('Mass Ion Calculations'!$D$6="Yes",IF('Mass Ion Calculations'!$D$7="Yes",('Mass Ion Calculations'!$D$18+'AA Exact Masses'!$Q$3+'AA Exact Masses'!$Q$3-'Mass Ion Calculations'!$C$23-'Mass Ion Calculations'!$C18)/2-'Mass Ion Calculations'!$D$5,('Mass Ion Calculations'!$F$18+'AA Exact Masses'!$Q$3+'AA Exact Masses'!$Q$3-'Mass Ion Calculations'!$E$23-'Mass Ion Calculations'!$E18)/2-'Mass Ion Calculations'!$D$5),IF('Mass Ion Calculations'!$D$7="Yes", ('Mass Ion Calculations'!$D$15+'AA Exact Masses'!$Q$3+'AA Exact Masses'!$Q$3-'Mass Ion Calculations'!$C$23-'Mass Ion Calculations'!$C18)/2-'Mass Ion Calculations'!$D$5,('Mass Ion Calculations'!$F$15+'AA Exact Masses'!$Q$3+'AA Exact Masses'!$Q$3-'Mass Ion Calculations'!$E$23-'Mass Ion Calculations'!$E18)/2-'Mass Ion Calculations'!$D$5)))</f>
        <v>#VALUE!</v>
      </c>
      <c r="V17" s="3" t="str">
        <f>IF(OR($B17="",V$3=""),"",IF('Mass Ion Calculations'!$D$6="Yes",IF('Mass Ion Calculations'!$D$7="Yes",('Mass Ion Calculations'!$D$18+'AA Exact Masses'!$Q$3+'AA Exact Masses'!$Q$3-'Mass Ion Calculations'!$C$24-'Mass Ion Calculations'!$C18)/2-'Mass Ion Calculations'!$D$5,('Mass Ion Calculations'!$F$18+'AA Exact Masses'!$Q$3+'AA Exact Masses'!$Q$3-'Mass Ion Calculations'!$E$24-'Mass Ion Calculations'!$E18)/2-'Mass Ion Calculations'!$D$5),IF('Mass Ion Calculations'!$D$7="Yes", ('Mass Ion Calculations'!$D$15+'AA Exact Masses'!$Q$3+'AA Exact Masses'!$Q$3-'Mass Ion Calculations'!$C$24-'Mass Ion Calculations'!$C18)/2-'Mass Ion Calculations'!$D$5,('Mass Ion Calculations'!$F$15+'AA Exact Masses'!$Q$3+'AA Exact Masses'!$Q$3-'Mass Ion Calculations'!$E$24-'Mass Ion Calculations'!$E18)/2-'Mass Ion Calculations'!$D$5)))</f>
        <v/>
      </c>
      <c r="W17" s="3" t="str">
        <f>IF(OR($B17="",W$3=""),"",IF('Mass Ion Calculations'!$D$6="Yes",IF('Mass Ion Calculations'!$D$7="Yes",('Mass Ion Calculations'!$D$18+'AA Exact Masses'!$Q$3+'AA Exact Masses'!$Q$3-'Mass Ion Calculations'!$C$25-'Mass Ion Calculations'!$C18)/2-'Mass Ion Calculations'!$D$5,('Mass Ion Calculations'!$F$18+'AA Exact Masses'!$Q$3+'AA Exact Masses'!$Q$3-'Mass Ion Calculations'!$E$25-'Mass Ion Calculations'!$E18)/2-'Mass Ion Calculations'!$D$5),IF('Mass Ion Calculations'!$D$7="Yes", ('Mass Ion Calculations'!$D$15+'AA Exact Masses'!$Q$3+'AA Exact Masses'!$Q$3-'Mass Ion Calculations'!$C$25-'Mass Ion Calculations'!$C18)/2-'Mass Ion Calculations'!$D$5,('Mass Ion Calculations'!$F$15+'AA Exact Masses'!$Q$3+'AA Exact Masses'!$Q$3-'Mass Ion Calculations'!$E$25-'Mass Ion Calculations'!$E18)/2-'Mass Ion Calculations'!$D$5)))</f>
        <v/>
      </c>
      <c r="X17" s="3" t="str">
        <f>IF(OR($B17="",X$3=""),"",IF('Mass Ion Calculations'!$D$6="Yes",IF('Mass Ion Calculations'!$D$7="Yes",('Mass Ion Calculations'!$D$18+'AA Exact Masses'!$Q$3+'AA Exact Masses'!$Q$3-'Mass Ion Calculations'!$C$26-'Mass Ion Calculations'!$C18)/2-'Mass Ion Calculations'!$D$5,('Mass Ion Calculations'!$F$18+'AA Exact Masses'!$Q$3+'AA Exact Masses'!$Q$3-'Mass Ion Calculations'!$E$26-'Mass Ion Calculations'!$E18)/2-'Mass Ion Calculations'!$D$5),IF('Mass Ion Calculations'!$D$7="Yes", ('Mass Ion Calculations'!$D$15+'AA Exact Masses'!$Q$3+'AA Exact Masses'!$Q$3-'Mass Ion Calculations'!$C$26-'Mass Ion Calculations'!$C18)/2-'Mass Ion Calculations'!$D$5,('Mass Ion Calculations'!$F$15+'AA Exact Masses'!$Q$3+'AA Exact Masses'!$Q$3-'Mass Ion Calculations'!$E$26-'Mass Ion Calculations'!$E18)/2-'Mass Ion Calculations'!$D$5)))</f>
        <v/>
      </c>
      <c r="Y17" s="3" t="str">
        <f>IF(OR($B17="",Y$3=""),"",IF('Mass Ion Calculations'!$D$6="Yes",IF('Mass Ion Calculations'!$D$7="Yes",('Mass Ion Calculations'!$D$18+'AA Exact Masses'!$Q$3+'AA Exact Masses'!$Q$3-'Mass Ion Calculations'!$C$27-'Mass Ion Calculations'!$C18)/2-'Mass Ion Calculations'!$D$5,('Mass Ion Calculations'!$F$18+'AA Exact Masses'!$Q$3+'AA Exact Masses'!$Q$3-'Mass Ion Calculations'!$E$27-'Mass Ion Calculations'!$E18)/2-'Mass Ion Calculations'!$D$5),IF('Mass Ion Calculations'!$D$7="Yes", ('Mass Ion Calculations'!$D$15+'AA Exact Masses'!$Q$3+'AA Exact Masses'!$Q$3-'Mass Ion Calculations'!$C$27-'Mass Ion Calculations'!$C18)/2-'Mass Ion Calculations'!$D$5,('Mass Ion Calculations'!$F$15+'AA Exact Masses'!$Q$3+'AA Exact Masses'!$Q$3-'Mass Ion Calculations'!$E$27-'Mass Ion Calculations'!$E18)/2-'Mass Ion Calculations'!$D$5)))</f>
        <v/>
      </c>
      <c r="Z17" s="3" t="str">
        <f>IF(OR($B17="",Z$3=""),"",IF('Mass Ion Calculations'!$D$6="Yes",IF('Mass Ion Calculations'!$D$7="Yes",('Mass Ion Calculations'!$D$18+'AA Exact Masses'!$Q$3+'AA Exact Masses'!$Q$3-'Mass Ion Calculations'!$C$28-'Mass Ion Calculations'!$C18)/2-'Mass Ion Calculations'!$D$5,('Mass Ion Calculations'!$F$18+'AA Exact Masses'!$Q$3+'AA Exact Masses'!$Q$3-'Mass Ion Calculations'!$E$28-'Mass Ion Calculations'!$E18)/2-'Mass Ion Calculations'!$D$5),IF('Mass Ion Calculations'!$D$7="Yes", ('Mass Ion Calculations'!$D$15+'AA Exact Masses'!$Q$3+'AA Exact Masses'!$Q$3-'Mass Ion Calculations'!$C$28-'Mass Ion Calculations'!$C18)/2-'Mass Ion Calculations'!$D$5,('Mass Ion Calculations'!$F$15+'AA Exact Masses'!$Q$3+'AA Exact Masses'!$Q$3-'Mass Ion Calculations'!$E$28-'Mass Ion Calculations'!$E18)/2-'Mass Ion Calculations'!$D$5)))</f>
        <v/>
      </c>
    </row>
    <row r="18" spans="2:26" x14ac:dyDescent="0.25">
      <c r="B18" s="4" t="str">
        <f>IF('Mass Ion Calculations'!B19="","", 'Mass Ion Calculations'!B19)</f>
        <v>Val</v>
      </c>
      <c r="C18" s="3">
        <f>IF(OR($B18="",C$3=""),"",IF('Mass Ion Calculations'!$D$6="Yes",IF('Mass Ion Calculations'!$D$7="Yes",('Mass Ion Calculations'!$D$18+'AA Exact Masses'!$Q$3+'AA Exact Masses'!$Q$3-'Mass Ion Calculations'!$C$5-'Mass Ion Calculations'!$C19)/2-'Mass Ion Calculations'!$D$5,('Mass Ion Calculations'!$F$18+'AA Exact Masses'!$Q$3+'AA Exact Masses'!$Q$3-'Mass Ion Calculations'!$E$5-'Mass Ion Calculations'!$E19)/2-'Mass Ion Calculations'!$D$5),IF('Mass Ion Calculations'!$D$7="Yes", ('Mass Ion Calculations'!$D$15+'AA Exact Masses'!$Q$3+'AA Exact Masses'!$Q$3-'Mass Ion Calculations'!$C$5-'Mass Ion Calculations'!$C19)/2-'Mass Ion Calculations'!$D$5,('Mass Ion Calculations'!$F$15+'AA Exact Masses'!$Q$3+'AA Exact Masses'!$Q$3-'Mass Ion Calculations'!$E$5-'Mass Ion Calculations'!$E19)/2-'Mass Ion Calculations'!$D$5)))</f>
        <v>-395.62139000000002</v>
      </c>
      <c r="D18" s="3">
        <f>IF(OR($B18="",D$3=""),"",IF('Mass Ion Calculations'!$D$6="Yes",IF('Mass Ion Calculations'!$D$7="Yes",('Mass Ion Calculations'!$D$18+'AA Exact Masses'!$Q$3+'AA Exact Masses'!$Q$3-'Mass Ion Calculations'!$C$6-'Mass Ion Calculations'!$C19)/2-'Mass Ion Calculations'!$D$5,('Mass Ion Calculations'!$F$18+'AA Exact Masses'!$Q$3+'AA Exact Masses'!$Q$3-'Mass Ion Calculations'!$E$6-'Mass Ion Calculations'!$E19)/2-'Mass Ion Calculations'!$D$5),IF('Mass Ion Calculations'!$D$7="Yes", ('Mass Ion Calculations'!$D$15+'AA Exact Masses'!$Q$3+'AA Exact Masses'!$Q$3-'Mass Ion Calculations'!$C$6-'Mass Ion Calculations'!$C19)/2-'Mass Ion Calculations'!$D$5,('Mass Ion Calculations'!$F$15+'AA Exact Masses'!$Q$3+'AA Exact Masses'!$Q$3-'Mass Ion Calculations'!$E$6-'Mass Ion Calculations'!$E19)/2-'Mass Ion Calculations'!$D$5)))</f>
        <v>-374.10028499999999</v>
      </c>
      <c r="E18" s="3">
        <f>IF(OR($B18="",E$3=""),"",IF('Mass Ion Calculations'!$D$6="Yes",IF('Mass Ion Calculations'!$D$7="Yes",('Mass Ion Calculations'!$D$18+'AA Exact Masses'!$Q$3+'AA Exact Masses'!$Q$3-'Mass Ion Calculations'!$C$7-'Mass Ion Calculations'!$C19)/2-'Mass Ion Calculations'!$D$5,('Mass Ion Calculations'!$F$18+'AA Exact Masses'!$Q$3+'AA Exact Masses'!$Q$3-'Mass Ion Calculations'!$E$7-'Mass Ion Calculations'!$E19)/2-'Mass Ion Calculations'!$D$5),IF('Mass Ion Calculations'!$D$7="Yes", ('Mass Ion Calculations'!$D$15+'AA Exact Masses'!$Q$3+'AA Exact Masses'!$Q$3-'Mass Ion Calculations'!$C$7-'Mass Ion Calculations'!$C19)/2-'Mass Ion Calculations'!$D$5,('Mass Ion Calculations'!$F$15+'AA Exact Masses'!$Q$3+'AA Exact Masses'!$Q$3-'Mass Ion Calculations'!$E$7-'Mass Ion Calculations'!$E19)/2-'Mass Ion Calculations'!$D$5)))</f>
        <v>-395.12375999999995</v>
      </c>
      <c r="F18" s="3">
        <f>IF(OR($B18="",F$3=""),"",IF('Mass Ion Calculations'!$D$6="Yes",IF('Mass Ion Calculations'!$D$7="Yes",('Mass Ion Calculations'!$D$18+'AA Exact Masses'!$Q$3+'AA Exact Masses'!$Q$3-'Mass Ion Calculations'!$C$8-'Mass Ion Calculations'!$C19)/2-'Mass Ion Calculations'!$D$5,('Mass Ion Calculations'!$F$18+'AA Exact Masses'!$Q$3+'AA Exact Masses'!$Q$3-'Mass Ion Calculations'!$E$8-'Mass Ion Calculations'!$E19)/2-'Mass Ion Calculations'!$D$5),IF('Mass Ion Calculations'!$D$7="Yes", ('Mass Ion Calculations'!$D$15+'AA Exact Masses'!$Q$3+'AA Exact Masses'!$Q$3-'Mass Ion Calculations'!$C$8-'Mass Ion Calculations'!$C19)/2-'Mass Ion Calculations'!$D$5,('Mass Ion Calculations'!$F$15+'AA Exact Masses'!$Q$3+'AA Exact Masses'!$Q$3-'Mass Ion Calculations'!$E$8-'Mass Ion Calculations'!$E19)/2-'Mass Ion Calculations'!$D$5)))</f>
        <v>-395.12375999999995</v>
      </c>
      <c r="G18" s="3">
        <f>IF(OR($B18="",G$3=""),"",IF('Mass Ion Calculations'!$D$6="Yes",IF('Mass Ion Calculations'!$D$7="Yes",('Mass Ion Calculations'!$D$18+'AA Exact Masses'!$Q$3+'AA Exact Masses'!$Q$3-'Mass Ion Calculations'!$C$9-'Mass Ion Calculations'!$C19)/2-'Mass Ion Calculations'!$D$5,('Mass Ion Calculations'!$F$18+'AA Exact Masses'!$Q$3+'AA Exact Masses'!$Q$3-'Mass Ion Calculations'!$E$9-'Mass Ion Calculations'!$E19)/2-'Mass Ion Calculations'!$D$5),IF('Mass Ion Calculations'!$D$7="Yes", ('Mass Ion Calculations'!$D$15+'AA Exact Masses'!$Q$3+'AA Exact Masses'!$Q$3-'Mass Ion Calculations'!$C$9-'Mass Ion Calculations'!$C19)/2-'Mass Ion Calculations'!$D$5,('Mass Ion Calculations'!$F$15+'AA Exact Masses'!$Q$3+'AA Exact Masses'!$Q$3-'Mass Ion Calculations'!$E$9-'Mass Ion Calculations'!$E19)/2-'Mass Ion Calculations'!$D$5)))</f>
        <v>-374.10028499999999</v>
      </c>
      <c r="H18" s="3">
        <f>IF(OR($B18="",H$3=""),"",IF('Mass Ion Calculations'!$D$6="Yes",IF('Mass Ion Calculations'!$D$7="Yes",('Mass Ion Calculations'!$D$18+'AA Exact Masses'!$Q$3+'AA Exact Masses'!$Q$3-'Mass Ion Calculations'!$C$10-'Mass Ion Calculations'!$C19)/2-'Mass Ion Calculations'!$D$5,('Mass Ion Calculations'!$F$18+'AA Exact Masses'!$Q$3+'AA Exact Masses'!$Q$3-'Mass Ion Calculations'!$E$10-'Mass Ion Calculations'!$E19)/2-'Mass Ion Calculations'!$D$5),IF('Mass Ion Calculations'!$D$7="Yes", ('Mass Ion Calculations'!$D$15+'AA Exact Masses'!$Q$3+'AA Exact Masses'!$Q$3-'Mass Ion Calculations'!$C$10-'Mass Ion Calculations'!$C19)/2-'Mass Ion Calculations'!$D$5,('Mass Ion Calculations'!$F$15+'AA Exact Masses'!$Q$3+'AA Exact Masses'!$Q$3-'Mass Ion Calculations'!$E$10-'Mass Ion Calculations'!$E19)/2-'Mass Ion Calculations'!$D$5)))</f>
        <v>-395.12375999999995</v>
      </c>
      <c r="I18" s="3">
        <f>IF(OR($B18="",I$3=""),"",IF('Mass Ion Calculations'!$D$6="Yes",IF('Mass Ion Calculations'!$D$7="Yes",('Mass Ion Calculations'!$D$18+'AA Exact Masses'!$Q$3+'AA Exact Masses'!$Q$3-'Mass Ion Calculations'!$C$11-'Mass Ion Calculations'!$C19)/2-'Mass Ion Calculations'!$D$5,('Mass Ion Calculations'!$F$18+'AA Exact Masses'!$Q$3+'AA Exact Masses'!$Q$3-'Mass Ion Calculations'!$E$11-'Mass Ion Calculations'!$E19)/2-'Mass Ion Calculations'!$D$5),IF('Mass Ion Calculations'!$D$7="Yes", ('Mass Ion Calculations'!$D$15+'AA Exact Masses'!$Q$3+'AA Exact Masses'!$Q$3-'Mass Ion Calculations'!$C$11-'Mass Ion Calculations'!$C19)/2-'Mass Ion Calculations'!$D$5,('Mass Ion Calculations'!$F$15+'AA Exact Masses'!$Q$3+'AA Exact Masses'!$Q$3-'Mass Ion Calculations'!$E$11-'Mass Ion Calculations'!$E19)/2-'Mass Ion Calculations'!$D$5)))</f>
        <v>-395.62139000000002</v>
      </c>
      <c r="J18" s="3">
        <f>IF(OR($B18="",J$3=""),"",IF('Mass Ion Calculations'!$D$6="Yes",IF('Mass Ion Calculations'!$D$7="Yes",('Mass Ion Calculations'!$D$18+'AA Exact Masses'!$Q$3+'AA Exact Masses'!$Q$3-'Mass Ion Calculations'!$C$12-'Mass Ion Calculations'!$C19)/2-'Mass Ion Calculations'!$D$5,('Mass Ion Calculations'!$F$18+'AA Exact Masses'!$Q$3+'AA Exact Masses'!$Q$3-'Mass Ion Calculations'!$E$12-'Mass Ion Calculations'!$E19)/2-'Mass Ion Calculations'!$D$5),IF('Mass Ion Calculations'!$D$7="Yes", ('Mass Ion Calculations'!$D$15+'AA Exact Masses'!$Q$3+'AA Exact Masses'!$Q$3-'Mass Ion Calculations'!$C$12-'Mass Ion Calculations'!$C19)/2-'Mass Ion Calculations'!$D$5,('Mass Ion Calculations'!$F$15+'AA Exact Masses'!$Q$3+'AA Exact Masses'!$Q$3-'Mass Ion Calculations'!$E$12-'Mass Ion Calculations'!$E19)/2-'Mass Ion Calculations'!$D$5)))</f>
        <v>-388.11593500000004</v>
      </c>
      <c r="K18" s="3">
        <f>IF(OR($B18="",K$3=""),"",IF('Mass Ion Calculations'!$D$6="Yes",IF('Mass Ion Calculations'!$D$7="Yes",('Mass Ion Calculations'!$D$18+'AA Exact Masses'!$Q$3+'AA Exact Masses'!$Q$3-'Mass Ion Calculations'!$C$13-'Mass Ion Calculations'!$C19)/2-'Mass Ion Calculations'!$D$5,('Mass Ion Calculations'!$F$18+'AA Exact Masses'!$Q$3+'AA Exact Masses'!$Q$3-'Mass Ion Calculations'!$E$13-'Mass Ion Calculations'!$E19)/2-'Mass Ion Calculations'!$D$5),IF('Mass Ion Calculations'!$D$7="Yes", ('Mass Ion Calculations'!$D$15+'AA Exact Masses'!$Q$3+'AA Exact Masses'!$Q$3-'Mass Ion Calculations'!$C$13-'Mass Ion Calculations'!$C19)/2-'Mass Ion Calculations'!$D$5,('Mass Ion Calculations'!$F$15+'AA Exact Masses'!$Q$3+'AA Exact Masses'!$Q$3-'Mass Ion Calculations'!$E$13-'Mass Ion Calculations'!$E19)/2-'Mass Ion Calculations'!$D$5)))</f>
        <v>-395.62139000000002</v>
      </c>
      <c r="L18" s="3">
        <f>IF(OR($B18="",L$3=""),"",IF('Mass Ion Calculations'!$D$6="Yes",IF('Mass Ion Calculations'!$D$7="Yes",('Mass Ion Calculations'!$D$18+'AA Exact Masses'!$Q$3+'AA Exact Masses'!$Q$3-'Mass Ion Calculations'!$C$14-'Mass Ion Calculations'!$C19)/2-'Mass Ion Calculations'!$D$5,('Mass Ion Calculations'!$F$18+'AA Exact Masses'!$Q$3+'AA Exact Masses'!$Q$3-'Mass Ion Calculations'!$E$14-'Mass Ion Calculations'!$E19)/2-'Mass Ion Calculations'!$D$5),IF('Mass Ion Calculations'!$D$7="Yes", ('Mass Ion Calculations'!$D$15+'AA Exact Masses'!$Q$3+'AA Exact Masses'!$Q$3-'Mass Ion Calculations'!$C$14-'Mass Ion Calculations'!$C19)/2-'Mass Ion Calculations'!$D$5,('Mass Ion Calculations'!$F$15+'AA Exact Masses'!$Q$3+'AA Exact Masses'!$Q$3-'Mass Ion Calculations'!$E$14-'Mass Ion Calculations'!$E19)/2-'Mass Ion Calculations'!$D$5)))</f>
        <v>-403.103025</v>
      </c>
      <c r="M18" s="3">
        <f>IF(OR($B18="",M$3=""),"",IF('Mass Ion Calculations'!$D$6="Yes",IF('Mass Ion Calculations'!$D$7="Yes",('Mass Ion Calculations'!$D$18+'AA Exact Masses'!$Q$3+'AA Exact Masses'!$Q$3-'Mass Ion Calculations'!$C$15-'Mass Ion Calculations'!$C19)/2-'Mass Ion Calculations'!$D$5,('Mass Ion Calculations'!$F$18+'AA Exact Masses'!$Q$3+'AA Exact Masses'!$Q$3-'Mass Ion Calculations'!$E$15-'Mass Ion Calculations'!$E19)/2-'Mass Ion Calculations'!$D$5),IF('Mass Ion Calculations'!$D$7="Yes", ('Mass Ion Calculations'!$D$15+'AA Exact Masses'!$Q$3+'AA Exact Masses'!$Q$3-'Mass Ion Calculations'!$C$15-'Mass Ion Calculations'!$C19)/2-'Mass Ion Calculations'!$D$5,('Mass Ion Calculations'!$F$15+'AA Exact Masses'!$Q$3+'AA Exact Masses'!$Q$3-'Mass Ion Calculations'!$E$15-'Mass Ion Calculations'!$E19)/2-'Mass Ion Calculations'!$D$5)))</f>
        <v>-396.09519999999998</v>
      </c>
      <c r="N18" s="3">
        <f>IF(OR($B18="",N$3=""),"",IF('Mass Ion Calculations'!$D$6="Yes",IF('Mass Ion Calculations'!$D$7="Yes",('Mass Ion Calculations'!$D$18+'AA Exact Masses'!$Q$3+'AA Exact Masses'!$Q$3-'Mass Ion Calculations'!$C$16-'Mass Ion Calculations'!$C19)/2-'Mass Ion Calculations'!$D$5,('Mass Ion Calculations'!$F$18+'AA Exact Masses'!$Q$3+'AA Exact Masses'!$Q$3-'Mass Ion Calculations'!$E$16-'Mass Ion Calculations'!$E19)/2-'Mass Ion Calculations'!$D$5),IF('Mass Ion Calculations'!$D$7="Yes", ('Mass Ion Calculations'!$D$15+'AA Exact Masses'!$Q$3+'AA Exact Masses'!$Q$3-'Mass Ion Calculations'!$C$16-'Mass Ion Calculations'!$C19)/2-'Mass Ion Calculations'!$D$5,('Mass Ion Calculations'!$F$15+'AA Exact Masses'!$Q$3+'AA Exact Masses'!$Q$3-'Mass Ion Calculations'!$E$16-'Mass Ion Calculations'!$E19)/2-'Mass Ion Calculations'!$D$5)))</f>
        <v>-374.10028499999999</v>
      </c>
      <c r="O18" s="3">
        <f>IF(OR($B18="",O$3=""),"",IF('Mass Ion Calculations'!$D$6="Yes",IF('Mass Ion Calculations'!$D$7="Yes",('Mass Ion Calculations'!$D$18+'AA Exact Masses'!$Q$3+'AA Exact Masses'!$Q$3-'Mass Ion Calculations'!$C$17-'Mass Ion Calculations'!$C19)/2-'Mass Ion Calculations'!$D$5,('Mass Ion Calculations'!$F$18+'AA Exact Masses'!$Q$3+'AA Exact Masses'!$Q$3-'Mass Ion Calculations'!$E$17-'Mass Ion Calculations'!$E19)/2-'Mass Ion Calculations'!$D$5),IF('Mass Ion Calculations'!$D$7="Yes", ('Mass Ion Calculations'!$D$15+'AA Exact Masses'!$Q$3+'AA Exact Masses'!$Q$3-'Mass Ion Calculations'!$C$17-'Mass Ion Calculations'!$C19)/2-'Mass Ion Calculations'!$D$5,('Mass Ion Calculations'!$F$15+'AA Exact Masses'!$Q$3+'AA Exact Masses'!$Q$3-'Mass Ion Calculations'!$E$17-'Mass Ion Calculations'!$E19)/2-'Mass Ion Calculations'!$D$5)))</f>
        <v>-412.11593500000004</v>
      </c>
      <c r="P18" s="3">
        <f>IF(OR($B18="",P$3=""),"",IF('Mass Ion Calculations'!$D$6="Yes",IF('Mass Ion Calculations'!$D$7="Yes",('Mass Ion Calculations'!$D$18+'AA Exact Masses'!$Q$3+'AA Exact Masses'!$Q$3-'Mass Ion Calculations'!$C$18-'Mass Ion Calculations'!$C19)/2-'Mass Ion Calculations'!$D$5,('Mass Ion Calculations'!$F$18+'AA Exact Masses'!$Q$3+'AA Exact Masses'!$Q$3-'Mass Ion Calculations'!$E$18-'Mass Ion Calculations'!$E19)/2-'Mass Ion Calculations'!$D$5),IF('Mass Ion Calculations'!$D$7="Yes", ('Mass Ion Calculations'!$D$15+'AA Exact Masses'!$Q$3+'AA Exact Masses'!$Q$3-'Mass Ion Calculations'!$C$18-'Mass Ion Calculations'!$C19)/2-'Mass Ion Calculations'!$D$5,('Mass Ion Calculations'!$F$15+'AA Exact Masses'!$Q$3+'AA Exact Masses'!$Q$3-'Mass Ion Calculations'!$E$18-'Mass Ion Calculations'!$E19)/2-'Mass Ion Calculations'!$D$5)))</f>
        <v>-475.06425999999999</v>
      </c>
      <c r="Q18" s="3">
        <f>IF(OR($B18="",Q$3=""),"",IF('Mass Ion Calculations'!$D$6="Yes",IF('Mass Ion Calculations'!$D$7="Yes",('Mass Ion Calculations'!$D$18+'AA Exact Masses'!$Q$3+'AA Exact Masses'!$Q$3-'Mass Ion Calculations'!$C$19-'Mass Ion Calculations'!$C19)/2-'Mass Ion Calculations'!$D$5,('Mass Ion Calculations'!$F$18+'AA Exact Masses'!$Q$3+'AA Exact Masses'!$Q$3-'Mass Ion Calculations'!$E$19-'Mass Ion Calculations'!$E19)/2-'Mass Ion Calculations'!$D$5),IF('Mass Ion Calculations'!$D$7="Yes", ('Mass Ion Calculations'!$D$15+'AA Exact Masses'!$Q$3+'AA Exact Masses'!$Q$3-'Mass Ion Calculations'!$C$19-'Mass Ion Calculations'!$C19)/2-'Mass Ion Calculations'!$D$5,('Mass Ion Calculations'!$F$15+'AA Exact Masses'!$Q$3+'AA Exact Masses'!$Q$3-'Mass Ion Calculations'!$E$19-'Mass Ion Calculations'!$E19)/2-'Mass Ion Calculations'!$D$5)))</f>
        <v>-388.11593500000004</v>
      </c>
      <c r="R18" s="3">
        <f>IF(OR($B18="",R$3=""),"",IF('Mass Ion Calculations'!$D$6="Yes",IF('Mass Ion Calculations'!$D$7="Yes",('Mass Ion Calculations'!$D$18+'AA Exact Masses'!$Q$3+'AA Exact Masses'!$Q$3-'Mass Ion Calculations'!$C$20-'Mass Ion Calculations'!$C19)/2-'Mass Ion Calculations'!$D$5,('Mass Ion Calculations'!$F$18+'AA Exact Masses'!$Q$3+'AA Exact Masses'!$Q$3-'Mass Ion Calculations'!$E$20-'Mass Ion Calculations'!$E19)/2-'Mass Ion Calculations'!$D$5),IF('Mass Ion Calculations'!$D$7="Yes", ('Mass Ion Calculations'!$D$15+'AA Exact Masses'!$Q$3+'AA Exact Masses'!$Q$3-'Mass Ion Calculations'!$C$20-'Mass Ion Calculations'!$C19)/2-'Mass Ion Calculations'!$D$5,('Mass Ion Calculations'!$F$15+'AA Exact Masses'!$Q$3+'AA Exact Masses'!$Q$3-'Mass Ion Calculations'!$E$20-'Mass Ion Calculations'!$E19)/2-'Mass Ion Calculations'!$D$5)))</f>
        <v>-395.12375999999995</v>
      </c>
      <c r="S18" s="3" t="str">
        <f>IF(OR($B18="",S$3=""),"",IF('Mass Ion Calculations'!$D$6="Yes",IF('Mass Ion Calculations'!$D$7="Yes",('Mass Ion Calculations'!$D$18+'AA Exact Masses'!$Q$3+'AA Exact Masses'!$Q$3-'Mass Ion Calculations'!$C$21-'Mass Ion Calculations'!$C19)/2-'Mass Ion Calculations'!$D$5,('Mass Ion Calculations'!$F$18+'AA Exact Masses'!$Q$3+'AA Exact Masses'!$Q$3-'Mass Ion Calculations'!$E$21-'Mass Ion Calculations'!$E19)/2-'Mass Ion Calculations'!$D$5),IF('Mass Ion Calculations'!$D$7="Yes", ('Mass Ion Calculations'!$D$15+'AA Exact Masses'!$Q$3+'AA Exact Masses'!$Q$3-'Mass Ion Calculations'!$C$21-'Mass Ion Calculations'!$C19)/2-'Mass Ion Calculations'!$D$5,('Mass Ion Calculations'!$F$15+'AA Exact Masses'!$Q$3+'AA Exact Masses'!$Q$3-'Mass Ion Calculations'!$E$21-'Mass Ion Calculations'!$E19)/2-'Mass Ion Calculations'!$D$5)))</f>
        <v/>
      </c>
      <c r="T18" s="3" t="e">
        <f>IF(OR($B18="",T$3=""),"",IF('Mass Ion Calculations'!$D$6="Yes",IF('Mass Ion Calculations'!$D$7="Yes",('Mass Ion Calculations'!$D$18+'AA Exact Masses'!$Q$3+'AA Exact Masses'!$Q$3-'Mass Ion Calculations'!$C$22-'Mass Ion Calculations'!$C19)/2-'Mass Ion Calculations'!$D$5,('Mass Ion Calculations'!$F$18+'AA Exact Masses'!$Q$3+'AA Exact Masses'!$Q$3-'Mass Ion Calculations'!$E$22-'Mass Ion Calculations'!$E19)/2-'Mass Ion Calculations'!$D$5),IF('Mass Ion Calculations'!$D$7="Yes", ('Mass Ion Calculations'!$D$15+'AA Exact Masses'!$Q$3+'AA Exact Masses'!$Q$3-'Mass Ion Calculations'!$C$22-'Mass Ion Calculations'!$C19)/2-'Mass Ion Calculations'!$D$5,('Mass Ion Calculations'!$F$15+'AA Exact Masses'!$Q$3+'AA Exact Masses'!$Q$3-'Mass Ion Calculations'!$E$22-'Mass Ion Calculations'!$E19)/2-'Mass Ion Calculations'!$D$5)))</f>
        <v>#VALUE!</v>
      </c>
      <c r="U18" s="3" t="e">
        <f>IF(OR($B18="",U$3=""),"",IF('Mass Ion Calculations'!$D$6="Yes",IF('Mass Ion Calculations'!$D$7="Yes",('Mass Ion Calculations'!$D$18+'AA Exact Masses'!$Q$3+'AA Exact Masses'!$Q$3-'Mass Ion Calculations'!$C$23-'Mass Ion Calculations'!$C19)/2-'Mass Ion Calculations'!$D$5,('Mass Ion Calculations'!$F$18+'AA Exact Masses'!$Q$3+'AA Exact Masses'!$Q$3-'Mass Ion Calculations'!$E$23-'Mass Ion Calculations'!$E19)/2-'Mass Ion Calculations'!$D$5),IF('Mass Ion Calculations'!$D$7="Yes", ('Mass Ion Calculations'!$D$15+'AA Exact Masses'!$Q$3+'AA Exact Masses'!$Q$3-'Mass Ion Calculations'!$C$23-'Mass Ion Calculations'!$C19)/2-'Mass Ion Calculations'!$D$5,('Mass Ion Calculations'!$F$15+'AA Exact Masses'!$Q$3+'AA Exact Masses'!$Q$3-'Mass Ion Calculations'!$E$23-'Mass Ion Calculations'!$E19)/2-'Mass Ion Calculations'!$D$5)))</f>
        <v>#VALUE!</v>
      </c>
      <c r="V18" s="3" t="str">
        <f>IF(OR($B18="",V$3=""),"",IF('Mass Ion Calculations'!$D$6="Yes",IF('Mass Ion Calculations'!$D$7="Yes",('Mass Ion Calculations'!$D$18+'AA Exact Masses'!$Q$3+'AA Exact Masses'!$Q$3-'Mass Ion Calculations'!$C$24-'Mass Ion Calculations'!$C19)/2-'Mass Ion Calculations'!$D$5,('Mass Ion Calculations'!$F$18+'AA Exact Masses'!$Q$3+'AA Exact Masses'!$Q$3-'Mass Ion Calculations'!$E$24-'Mass Ion Calculations'!$E19)/2-'Mass Ion Calculations'!$D$5),IF('Mass Ion Calculations'!$D$7="Yes", ('Mass Ion Calculations'!$D$15+'AA Exact Masses'!$Q$3+'AA Exact Masses'!$Q$3-'Mass Ion Calculations'!$C$24-'Mass Ion Calculations'!$C19)/2-'Mass Ion Calculations'!$D$5,('Mass Ion Calculations'!$F$15+'AA Exact Masses'!$Q$3+'AA Exact Masses'!$Q$3-'Mass Ion Calculations'!$E$24-'Mass Ion Calculations'!$E19)/2-'Mass Ion Calculations'!$D$5)))</f>
        <v/>
      </c>
      <c r="W18" s="3" t="str">
        <f>IF(OR($B18="",W$3=""),"",IF('Mass Ion Calculations'!$D$6="Yes",IF('Mass Ion Calculations'!$D$7="Yes",('Mass Ion Calculations'!$D$18+'AA Exact Masses'!$Q$3+'AA Exact Masses'!$Q$3-'Mass Ion Calculations'!$C$25-'Mass Ion Calculations'!$C19)/2-'Mass Ion Calculations'!$D$5,('Mass Ion Calculations'!$F$18+'AA Exact Masses'!$Q$3+'AA Exact Masses'!$Q$3-'Mass Ion Calculations'!$E$25-'Mass Ion Calculations'!$E19)/2-'Mass Ion Calculations'!$D$5),IF('Mass Ion Calculations'!$D$7="Yes", ('Mass Ion Calculations'!$D$15+'AA Exact Masses'!$Q$3+'AA Exact Masses'!$Q$3-'Mass Ion Calculations'!$C$25-'Mass Ion Calculations'!$C19)/2-'Mass Ion Calculations'!$D$5,('Mass Ion Calculations'!$F$15+'AA Exact Masses'!$Q$3+'AA Exact Masses'!$Q$3-'Mass Ion Calculations'!$E$25-'Mass Ion Calculations'!$E19)/2-'Mass Ion Calculations'!$D$5)))</f>
        <v/>
      </c>
      <c r="X18" s="3" t="str">
        <f>IF(OR($B18="",X$3=""),"",IF('Mass Ion Calculations'!$D$6="Yes",IF('Mass Ion Calculations'!$D$7="Yes",('Mass Ion Calculations'!$D$18+'AA Exact Masses'!$Q$3+'AA Exact Masses'!$Q$3-'Mass Ion Calculations'!$C$26-'Mass Ion Calculations'!$C19)/2-'Mass Ion Calculations'!$D$5,('Mass Ion Calculations'!$F$18+'AA Exact Masses'!$Q$3+'AA Exact Masses'!$Q$3-'Mass Ion Calculations'!$E$26-'Mass Ion Calculations'!$E19)/2-'Mass Ion Calculations'!$D$5),IF('Mass Ion Calculations'!$D$7="Yes", ('Mass Ion Calculations'!$D$15+'AA Exact Masses'!$Q$3+'AA Exact Masses'!$Q$3-'Mass Ion Calculations'!$C$26-'Mass Ion Calculations'!$C19)/2-'Mass Ion Calculations'!$D$5,('Mass Ion Calculations'!$F$15+'AA Exact Masses'!$Q$3+'AA Exact Masses'!$Q$3-'Mass Ion Calculations'!$E$26-'Mass Ion Calculations'!$E19)/2-'Mass Ion Calculations'!$D$5)))</f>
        <v/>
      </c>
      <c r="Y18" s="3" t="str">
        <f>IF(OR($B18="",Y$3=""),"",IF('Mass Ion Calculations'!$D$6="Yes",IF('Mass Ion Calculations'!$D$7="Yes",('Mass Ion Calculations'!$D$18+'AA Exact Masses'!$Q$3+'AA Exact Masses'!$Q$3-'Mass Ion Calculations'!$C$27-'Mass Ion Calculations'!$C19)/2-'Mass Ion Calculations'!$D$5,('Mass Ion Calculations'!$F$18+'AA Exact Masses'!$Q$3+'AA Exact Masses'!$Q$3-'Mass Ion Calculations'!$E$27-'Mass Ion Calculations'!$E19)/2-'Mass Ion Calculations'!$D$5),IF('Mass Ion Calculations'!$D$7="Yes", ('Mass Ion Calculations'!$D$15+'AA Exact Masses'!$Q$3+'AA Exact Masses'!$Q$3-'Mass Ion Calculations'!$C$27-'Mass Ion Calculations'!$C19)/2-'Mass Ion Calculations'!$D$5,('Mass Ion Calculations'!$F$15+'AA Exact Masses'!$Q$3+'AA Exact Masses'!$Q$3-'Mass Ion Calculations'!$E$27-'Mass Ion Calculations'!$E19)/2-'Mass Ion Calculations'!$D$5)))</f>
        <v/>
      </c>
      <c r="Z18" s="3" t="str">
        <f>IF(OR($B18="",Z$3=""),"",IF('Mass Ion Calculations'!$D$6="Yes",IF('Mass Ion Calculations'!$D$7="Yes",('Mass Ion Calculations'!$D$18+'AA Exact Masses'!$Q$3+'AA Exact Masses'!$Q$3-'Mass Ion Calculations'!$C$28-'Mass Ion Calculations'!$C19)/2-'Mass Ion Calculations'!$D$5,('Mass Ion Calculations'!$F$18+'AA Exact Masses'!$Q$3+'AA Exact Masses'!$Q$3-'Mass Ion Calculations'!$E$28-'Mass Ion Calculations'!$E19)/2-'Mass Ion Calculations'!$D$5),IF('Mass Ion Calculations'!$D$7="Yes", ('Mass Ion Calculations'!$D$15+'AA Exact Masses'!$Q$3+'AA Exact Masses'!$Q$3-'Mass Ion Calculations'!$C$28-'Mass Ion Calculations'!$C19)/2-'Mass Ion Calculations'!$D$5,('Mass Ion Calculations'!$F$15+'AA Exact Masses'!$Q$3+'AA Exact Masses'!$Q$3-'Mass Ion Calculations'!$E$28-'Mass Ion Calculations'!$E19)/2-'Mass Ion Calculations'!$D$5)))</f>
        <v/>
      </c>
    </row>
    <row r="19" spans="2:26" x14ac:dyDescent="0.25">
      <c r="B19" s="4" t="str">
        <f>IF('Mass Ion Calculations'!B20="","", 'Mass Ion Calculations'!B20)</f>
        <v>Leu</v>
      </c>
      <c r="C19" s="3">
        <f>IF(OR($B19="",C$3=""),"",IF('Mass Ion Calculations'!$D$6="Yes",IF('Mass Ion Calculations'!$D$7="Yes",('Mass Ion Calculations'!$D$18+'AA Exact Masses'!$Q$3+'AA Exact Masses'!$Q$3-'Mass Ion Calculations'!$C$5-'Mass Ion Calculations'!$C20)/2-'Mass Ion Calculations'!$D$5,('Mass Ion Calculations'!$F$18+'AA Exact Masses'!$Q$3+'AA Exact Masses'!$Q$3-'Mass Ion Calculations'!$E$5-'Mass Ion Calculations'!$E20)/2-'Mass Ion Calculations'!$D$5),IF('Mass Ion Calculations'!$D$7="Yes", ('Mass Ion Calculations'!$D$15+'AA Exact Masses'!$Q$3+'AA Exact Masses'!$Q$3-'Mass Ion Calculations'!$C$5-'Mass Ion Calculations'!$C20)/2-'Mass Ion Calculations'!$D$5,('Mass Ion Calculations'!$F$15+'AA Exact Masses'!$Q$3+'AA Exact Masses'!$Q$3-'Mass Ion Calculations'!$E$5-'Mass Ion Calculations'!$E20)/2-'Mass Ion Calculations'!$D$5)))</f>
        <v>-402.62921499999993</v>
      </c>
      <c r="D19" s="3">
        <f>IF(OR($B19="",D$3=""),"",IF('Mass Ion Calculations'!$D$6="Yes",IF('Mass Ion Calculations'!$D$7="Yes",('Mass Ion Calculations'!$D$18+'AA Exact Masses'!$Q$3+'AA Exact Masses'!$Q$3-'Mass Ion Calculations'!$C$6-'Mass Ion Calculations'!$C20)/2-'Mass Ion Calculations'!$D$5,('Mass Ion Calculations'!$F$18+'AA Exact Masses'!$Q$3+'AA Exact Masses'!$Q$3-'Mass Ion Calculations'!$E$6-'Mass Ion Calculations'!$E20)/2-'Mass Ion Calculations'!$D$5),IF('Mass Ion Calculations'!$D$7="Yes", ('Mass Ion Calculations'!$D$15+'AA Exact Masses'!$Q$3+'AA Exact Masses'!$Q$3-'Mass Ion Calculations'!$C$6-'Mass Ion Calculations'!$C20)/2-'Mass Ion Calculations'!$D$5,('Mass Ion Calculations'!$F$15+'AA Exact Masses'!$Q$3+'AA Exact Masses'!$Q$3-'Mass Ion Calculations'!$E$6-'Mass Ion Calculations'!$E20)/2-'Mass Ion Calculations'!$D$5)))</f>
        <v>-381.1081099999999</v>
      </c>
      <c r="E19" s="3">
        <f>IF(OR($B19="",E$3=""),"",IF('Mass Ion Calculations'!$D$6="Yes",IF('Mass Ion Calculations'!$D$7="Yes",('Mass Ion Calculations'!$D$18+'AA Exact Masses'!$Q$3+'AA Exact Masses'!$Q$3-'Mass Ion Calculations'!$C$7-'Mass Ion Calculations'!$C20)/2-'Mass Ion Calculations'!$D$5,('Mass Ion Calculations'!$F$18+'AA Exact Masses'!$Q$3+'AA Exact Masses'!$Q$3-'Mass Ion Calculations'!$E$7-'Mass Ion Calculations'!$E20)/2-'Mass Ion Calculations'!$D$5),IF('Mass Ion Calculations'!$D$7="Yes", ('Mass Ion Calculations'!$D$15+'AA Exact Masses'!$Q$3+'AA Exact Masses'!$Q$3-'Mass Ion Calculations'!$C$7-'Mass Ion Calculations'!$C20)/2-'Mass Ion Calculations'!$D$5,('Mass Ion Calculations'!$F$15+'AA Exact Masses'!$Q$3+'AA Exact Masses'!$Q$3-'Mass Ion Calculations'!$E$7-'Mass Ion Calculations'!$E20)/2-'Mass Ion Calculations'!$D$5)))</f>
        <v>-402.13158499999986</v>
      </c>
      <c r="F19" s="3">
        <f>IF(OR($B19="",F$3=""),"",IF('Mass Ion Calculations'!$D$6="Yes",IF('Mass Ion Calculations'!$D$7="Yes",('Mass Ion Calculations'!$D$18+'AA Exact Masses'!$Q$3+'AA Exact Masses'!$Q$3-'Mass Ion Calculations'!$C$8-'Mass Ion Calculations'!$C20)/2-'Mass Ion Calculations'!$D$5,('Mass Ion Calculations'!$F$18+'AA Exact Masses'!$Q$3+'AA Exact Masses'!$Q$3-'Mass Ion Calculations'!$E$8-'Mass Ion Calculations'!$E20)/2-'Mass Ion Calculations'!$D$5),IF('Mass Ion Calculations'!$D$7="Yes", ('Mass Ion Calculations'!$D$15+'AA Exact Masses'!$Q$3+'AA Exact Masses'!$Q$3-'Mass Ion Calculations'!$C$8-'Mass Ion Calculations'!$C20)/2-'Mass Ion Calculations'!$D$5,('Mass Ion Calculations'!$F$15+'AA Exact Masses'!$Q$3+'AA Exact Masses'!$Q$3-'Mass Ion Calculations'!$E$8-'Mass Ion Calculations'!$E20)/2-'Mass Ion Calculations'!$D$5)))</f>
        <v>-402.13158499999986</v>
      </c>
      <c r="G19" s="3">
        <f>IF(OR($B19="",G$3=""),"",IF('Mass Ion Calculations'!$D$6="Yes",IF('Mass Ion Calculations'!$D$7="Yes",('Mass Ion Calculations'!$D$18+'AA Exact Masses'!$Q$3+'AA Exact Masses'!$Q$3-'Mass Ion Calculations'!$C$9-'Mass Ion Calculations'!$C20)/2-'Mass Ion Calculations'!$D$5,('Mass Ion Calculations'!$F$18+'AA Exact Masses'!$Q$3+'AA Exact Masses'!$Q$3-'Mass Ion Calculations'!$E$9-'Mass Ion Calculations'!$E20)/2-'Mass Ion Calculations'!$D$5),IF('Mass Ion Calculations'!$D$7="Yes", ('Mass Ion Calculations'!$D$15+'AA Exact Masses'!$Q$3+'AA Exact Masses'!$Q$3-'Mass Ion Calculations'!$C$9-'Mass Ion Calculations'!$C20)/2-'Mass Ion Calculations'!$D$5,('Mass Ion Calculations'!$F$15+'AA Exact Masses'!$Q$3+'AA Exact Masses'!$Q$3-'Mass Ion Calculations'!$E$9-'Mass Ion Calculations'!$E20)/2-'Mass Ion Calculations'!$D$5)))</f>
        <v>-381.1081099999999</v>
      </c>
      <c r="H19" s="3">
        <f>IF(OR($B19="",H$3=""),"",IF('Mass Ion Calculations'!$D$6="Yes",IF('Mass Ion Calculations'!$D$7="Yes",('Mass Ion Calculations'!$D$18+'AA Exact Masses'!$Q$3+'AA Exact Masses'!$Q$3-'Mass Ion Calculations'!$C$10-'Mass Ion Calculations'!$C20)/2-'Mass Ion Calculations'!$D$5,('Mass Ion Calculations'!$F$18+'AA Exact Masses'!$Q$3+'AA Exact Masses'!$Q$3-'Mass Ion Calculations'!$E$10-'Mass Ion Calculations'!$E20)/2-'Mass Ion Calculations'!$D$5),IF('Mass Ion Calculations'!$D$7="Yes", ('Mass Ion Calculations'!$D$15+'AA Exact Masses'!$Q$3+'AA Exact Masses'!$Q$3-'Mass Ion Calculations'!$C$10-'Mass Ion Calculations'!$C20)/2-'Mass Ion Calculations'!$D$5,('Mass Ion Calculations'!$F$15+'AA Exact Masses'!$Q$3+'AA Exact Masses'!$Q$3-'Mass Ion Calculations'!$E$10-'Mass Ion Calculations'!$E20)/2-'Mass Ion Calculations'!$D$5)))</f>
        <v>-402.13158499999986</v>
      </c>
      <c r="I19" s="3">
        <f>IF(OR($B19="",I$3=""),"",IF('Mass Ion Calculations'!$D$6="Yes",IF('Mass Ion Calculations'!$D$7="Yes",('Mass Ion Calculations'!$D$18+'AA Exact Masses'!$Q$3+'AA Exact Masses'!$Q$3-'Mass Ion Calculations'!$C$11-'Mass Ion Calculations'!$C20)/2-'Mass Ion Calculations'!$D$5,('Mass Ion Calculations'!$F$18+'AA Exact Masses'!$Q$3+'AA Exact Masses'!$Q$3-'Mass Ion Calculations'!$E$11-'Mass Ion Calculations'!$E20)/2-'Mass Ion Calculations'!$D$5),IF('Mass Ion Calculations'!$D$7="Yes", ('Mass Ion Calculations'!$D$15+'AA Exact Masses'!$Q$3+'AA Exact Masses'!$Q$3-'Mass Ion Calculations'!$C$11-'Mass Ion Calculations'!$C20)/2-'Mass Ion Calculations'!$D$5,('Mass Ion Calculations'!$F$15+'AA Exact Masses'!$Q$3+'AA Exact Masses'!$Q$3-'Mass Ion Calculations'!$E$11-'Mass Ion Calculations'!$E20)/2-'Mass Ion Calculations'!$D$5)))</f>
        <v>-402.62921499999993</v>
      </c>
      <c r="J19" s="3">
        <f>IF(OR($B19="",J$3=""),"",IF('Mass Ion Calculations'!$D$6="Yes",IF('Mass Ion Calculations'!$D$7="Yes",('Mass Ion Calculations'!$D$18+'AA Exact Masses'!$Q$3+'AA Exact Masses'!$Q$3-'Mass Ion Calculations'!$C$12-'Mass Ion Calculations'!$C20)/2-'Mass Ion Calculations'!$D$5,('Mass Ion Calculations'!$F$18+'AA Exact Masses'!$Q$3+'AA Exact Masses'!$Q$3-'Mass Ion Calculations'!$E$12-'Mass Ion Calculations'!$E20)/2-'Mass Ion Calculations'!$D$5),IF('Mass Ion Calculations'!$D$7="Yes", ('Mass Ion Calculations'!$D$15+'AA Exact Masses'!$Q$3+'AA Exact Masses'!$Q$3-'Mass Ion Calculations'!$C$12-'Mass Ion Calculations'!$C20)/2-'Mass Ion Calculations'!$D$5,('Mass Ion Calculations'!$F$15+'AA Exact Masses'!$Q$3+'AA Exact Masses'!$Q$3-'Mass Ion Calculations'!$E$12-'Mass Ion Calculations'!$E20)/2-'Mass Ion Calculations'!$D$5)))</f>
        <v>-395.12375999999995</v>
      </c>
      <c r="K19" s="3">
        <f>IF(OR($B19="",K$3=""),"",IF('Mass Ion Calculations'!$D$6="Yes",IF('Mass Ion Calculations'!$D$7="Yes",('Mass Ion Calculations'!$D$18+'AA Exact Masses'!$Q$3+'AA Exact Masses'!$Q$3-'Mass Ion Calculations'!$C$13-'Mass Ion Calculations'!$C20)/2-'Mass Ion Calculations'!$D$5,('Mass Ion Calculations'!$F$18+'AA Exact Masses'!$Q$3+'AA Exact Masses'!$Q$3-'Mass Ion Calculations'!$E$13-'Mass Ion Calculations'!$E20)/2-'Mass Ion Calculations'!$D$5),IF('Mass Ion Calculations'!$D$7="Yes", ('Mass Ion Calculations'!$D$15+'AA Exact Masses'!$Q$3+'AA Exact Masses'!$Q$3-'Mass Ion Calculations'!$C$13-'Mass Ion Calculations'!$C20)/2-'Mass Ion Calculations'!$D$5,('Mass Ion Calculations'!$F$15+'AA Exact Masses'!$Q$3+'AA Exact Masses'!$Q$3-'Mass Ion Calculations'!$E$13-'Mass Ion Calculations'!$E20)/2-'Mass Ion Calculations'!$D$5)))</f>
        <v>-402.62921499999993</v>
      </c>
      <c r="L19" s="3">
        <f>IF(OR($B19="",L$3=""),"",IF('Mass Ion Calculations'!$D$6="Yes",IF('Mass Ion Calculations'!$D$7="Yes",('Mass Ion Calculations'!$D$18+'AA Exact Masses'!$Q$3+'AA Exact Masses'!$Q$3-'Mass Ion Calculations'!$C$14-'Mass Ion Calculations'!$C20)/2-'Mass Ion Calculations'!$D$5,('Mass Ion Calculations'!$F$18+'AA Exact Masses'!$Q$3+'AA Exact Masses'!$Q$3-'Mass Ion Calculations'!$E$14-'Mass Ion Calculations'!$E20)/2-'Mass Ion Calculations'!$D$5),IF('Mass Ion Calculations'!$D$7="Yes", ('Mass Ion Calculations'!$D$15+'AA Exact Masses'!$Q$3+'AA Exact Masses'!$Q$3-'Mass Ion Calculations'!$C$14-'Mass Ion Calculations'!$C20)/2-'Mass Ion Calculations'!$D$5,('Mass Ion Calculations'!$F$15+'AA Exact Masses'!$Q$3+'AA Exact Masses'!$Q$3-'Mass Ion Calculations'!$E$14-'Mass Ion Calculations'!$E20)/2-'Mass Ion Calculations'!$D$5)))</f>
        <v>-410.11084999999991</v>
      </c>
      <c r="M19" s="3">
        <f>IF(OR($B19="",M$3=""),"",IF('Mass Ion Calculations'!$D$6="Yes",IF('Mass Ion Calculations'!$D$7="Yes",('Mass Ion Calculations'!$D$18+'AA Exact Masses'!$Q$3+'AA Exact Masses'!$Q$3-'Mass Ion Calculations'!$C$15-'Mass Ion Calculations'!$C20)/2-'Mass Ion Calculations'!$D$5,('Mass Ion Calculations'!$F$18+'AA Exact Masses'!$Q$3+'AA Exact Masses'!$Q$3-'Mass Ion Calculations'!$E$15-'Mass Ion Calculations'!$E20)/2-'Mass Ion Calculations'!$D$5),IF('Mass Ion Calculations'!$D$7="Yes", ('Mass Ion Calculations'!$D$15+'AA Exact Masses'!$Q$3+'AA Exact Masses'!$Q$3-'Mass Ion Calculations'!$C$15-'Mass Ion Calculations'!$C20)/2-'Mass Ion Calculations'!$D$5,('Mass Ion Calculations'!$F$15+'AA Exact Masses'!$Q$3+'AA Exact Masses'!$Q$3-'Mass Ion Calculations'!$E$15-'Mass Ion Calculations'!$E20)/2-'Mass Ion Calculations'!$D$5)))</f>
        <v>-403.10302499999989</v>
      </c>
      <c r="N19" s="3">
        <f>IF(OR($B19="",N$3=""),"",IF('Mass Ion Calculations'!$D$6="Yes",IF('Mass Ion Calculations'!$D$7="Yes",('Mass Ion Calculations'!$D$18+'AA Exact Masses'!$Q$3+'AA Exact Masses'!$Q$3-'Mass Ion Calculations'!$C$16-'Mass Ion Calculations'!$C20)/2-'Mass Ion Calculations'!$D$5,('Mass Ion Calculations'!$F$18+'AA Exact Masses'!$Q$3+'AA Exact Masses'!$Q$3-'Mass Ion Calculations'!$E$16-'Mass Ion Calculations'!$E20)/2-'Mass Ion Calculations'!$D$5),IF('Mass Ion Calculations'!$D$7="Yes", ('Mass Ion Calculations'!$D$15+'AA Exact Masses'!$Q$3+'AA Exact Masses'!$Q$3-'Mass Ion Calculations'!$C$16-'Mass Ion Calculations'!$C20)/2-'Mass Ion Calculations'!$D$5,('Mass Ion Calculations'!$F$15+'AA Exact Masses'!$Q$3+'AA Exact Masses'!$Q$3-'Mass Ion Calculations'!$E$16-'Mass Ion Calculations'!$E20)/2-'Mass Ion Calculations'!$D$5)))</f>
        <v>-381.1081099999999</v>
      </c>
      <c r="O19" s="3">
        <f>IF(OR($B19="",O$3=""),"",IF('Mass Ion Calculations'!$D$6="Yes",IF('Mass Ion Calculations'!$D$7="Yes",('Mass Ion Calculations'!$D$18+'AA Exact Masses'!$Q$3+'AA Exact Masses'!$Q$3-'Mass Ion Calculations'!$C$17-'Mass Ion Calculations'!$C20)/2-'Mass Ion Calculations'!$D$5,('Mass Ion Calculations'!$F$18+'AA Exact Masses'!$Q$3+'AA Exact Masses'!$Q$3-'Mass Ion Calculations'!$E$17-'Mass Ion Calculations'!$E20)/2-'Mass Ion Calculations'!$D$5),IF('Mass Ion Calculations'!$D$7="Yes", ('Mass Ion Calculations'!$D$15+'AA Exact Masses'!$Q$3+'AA Exact Masses'!$Q$3-'Mass Ion Calculations'!$C$17-'Mass Ion Calculations'!$C20)/2-'Mass Ion Calculations'!$D$5,('Mass Ion Calculations'!$F$15+'AA Exact Masses'!$Q$3+'AA Exact Masses'!$Q$3-'Mass Ion Calculations'!$E$17-'Mass Ion Calculations'!$E20)/2-'Mass Ion Calculations'!$D$5)))</f>
        <v>-419.12375999999995</v>
      </c>
      <c r="P19" s="3">
        <f>IF(OR($B19="",P$3=""),"",IF('Mass Ion Calculations'!$D$6="Yes",IF('Mass Ion Calculations'!$D$7="Yes",('Mass Ion Calculations'!$D$18+'AA Exact Masses'!$Q$3+'AA Exact Masses'!$Q$3-'Mass Ion Calculations'!$C$18-'Mass Ion Calculations'!$C20)/2-'Mass Ion Calculations'!$D$5,('Mass Ion Calculations'!$F$18+'AA Exact Masses'!$Q$3+'AA Exact Masses'!$Q$3-'Mass Ion Calculations'!$E$18-'Mass Ion Calculations'!$E20)/2-'Mass Ion Calculations'!$D$5),IF('Mass Ion Calculations'!$D$7="Yes", ('Mass Ion Calculations'!$D$15+'AA Exact Masses'!$Q$3+'AA Exact Masses'!$Q$3-'Mass Ion Calculations'!$C$18-'Mass Ion Calculations'!$C20)/2-'Mass Ion Calculations'!$D$5,('Mass Ion Calculations'!$F$15+'AA Exact Masses'!$Q$3+'AA Exact Masses'!$Q$3-'Mass Ion Calculations'!$E$18-'Mass Ion Calculations'!$E20)/2-'Mass Ion Calculations'!$D$5)))</f>
        <v>-482.0720849999999</v>
      </c>
      <c r="Q19" s="3">
        <f>IF(OR($B19="",Q$3=""),"",IF('Mass Ion Calculations'!$D$6="Yes",IF('Mass Ion Calculations'!$D$7="Yes",('Mass Ion Calculations'!$D$18+'AA Exact Masses'!$Q$3+'AA Exact Masses'!$Q$3-'Mass Ion Calculations'!$C$19-'Mass Ion Calculations'!$C20)/2-'Mass Ion Calculations'!$D$5,('Mass Ion Calculations'!$F$18+'AA Exact Masses'!$Q$3+'AA Exact Masses'!$Q$3-'Mass Ion Calculations'!$E$19-'Mass Ion Calculations'!$E20)/2-'Mass Ion Calculations'!$D$5),IF('Mass Ion Calculations'!$D$7="Yes", ('Mass Ion Calculations'!$D$15+'AA Exact Masses'!$Q$3+'AA Exact Masses'!$Q$3-'Mass Ion Calculations'!$C$19-'Mass Ion Calculations'!$C20)/2-'Mass Ion Calculations'!$D$5,('Mass Ion Calculations'!$F$15+'AA Exact Masses'!$Q$3+'AA Exact Masses'!$Q$3-'Mass Ion Calculations'!$E$19-'Mass Ion Calculations'!$E20)/2-'Mass Ion Calculations'!$D$5)))</f>
        <v>-395.12375999999995</v>
      </c>
      <c r="R19" s="3">
        <f>IF(OR($B19="",R$3=""),"",IF('Mass Ion Calculations'!$D$6="Yes",IF('Mass Ion Calculations'!$D$7="Yes",('Mass Ion Calculations'!$D$18+'AA Exact Masses'!$Q$3+'AA Exact Masses'!$Q$3-'Mass Ion Calculations'!$C$20-'Mass Ion Calculations'!$C20)/2-'Mass Ion Calculations'!$D$5,('Mass Ion Calculations'!$F$18+'AA Exact Masses'!$Q$3+'AA Exact Masses'!$Q$3-'Mass Ion Calculations'!$E$20-'Mass Ion Calculations'!$E20)/2-'Mass Ion Calculations'!$D$5),IF('Mass Ion Calculations'!$D$7="Yes", ('Mass Ion Calculations'!$D$15+'AA Exact Masses'!$Q$3+'AA Exact Masses'!$Q$3-'Mass Ion Calculations'!$C$20-'Mass Ion Calculations'!$C20)/2-'Mass Ion Calculations'!$D$5,('Mass Ion Calculations'!$F$15+'AA Exact Masses'!$Q$3+'AA Exact Masses'!$Q$3-'Mass Ion Calculations'!$E$20-'Mass Ion Calculations'!$E20)/2-'Mass Ion Calculations'!$D$5)))</f>
        <v>-402.13158499999986</v>
      </c>
      <c r="S19" s="3" t="str">
        <f>IF(OR($B19="",S$3=""),"",IF('Mass Ion Calculations'!$D$6="Yes",IF('Mass Ion Calculations'!$D$7="Yes",('Mass Ion Calculations'!$D$18+'AA Exact Masses'!$Q$3+'AA Exact Masses'!$Q$3-'Mass Ion Calculations'!$C$21-'Mass Ion Calculations'!$C20)/2-'Mass Ion Calculations'!$D$5,('Mass Ion Calculations'!$F$18+'AA Exact Masses'!$Q$3+'AA Exact Masses'!$Q$3-'Mass Ion Calculations'!$E$21-'Mass Ion Calculations'!$E20)/2-'Mass Ion Calculations'!$D$5),IF('Mass Ion Calculations'!$D$7="Yes", ('Mass Ion Calculations'!$D$15+'AA Exact Masses'!$Q$3+'AA Exact Masses'!$Q$3-'Mass Ion Calculations'!$C$21-'Mass Ion Calculations'!$C20)/2-'Mass Ion Calculations'!$D$5,('Mass Ion Calculations'!$F$15+'AA Exact Masses'!$Q$3+'AA Exact Masses'!$Q$3-'Mass Ion Calculations'!$E$21-'Mass Ion Calculations'!$E20)/2-'Mass Ion Calculations'!$D$5)))</f>
        <v/>
      </c>
      <c r="T19" s="3" t="e">
        <f>IF(OR($B19="",T$3=""),"",IF('Mass Ion Calculations'!$D$6="Yes",IF('Mass Ion Calculations'!$D$7="Yes",('Mass Ion Calculations'!$D$18+'AA Exact Masses'!$Q$3+'AA Exact Masses'!$Q$3-'Mass Ion Calculations'!$C$22-'Mass Ion Calculations'!$C20)/2-'Mass Ion Calculations'!$D$5,('Mass Ion Calculations'!$F$18+'AA Exact Masses'!$Q$3+'AA Exact Masses'!$Q$3-'Mass Ion Calculations'!$E$22-'Mass Ion Calculations'!$E20)/2-'Mass Ion Calculations'!$D$5),IF('Mass Ion Calculations'!$D$7="Yes", ('Mass Ion Calculations'!$D$15+'AA Exact Masses'!$Q$3+'AA Exact Masses'!$Q$3-'Mass Ion Calculations'!$C$22-'Mass Ion Calculations'!$C20)/2-'Mass Ion Calculations'!$D$5,('Mass Ion Calculations'!$F$15+'AA Exact Masses'!$Q$3+'AA Exact Masses'!$Q$3-'Mass Ion Calculations'!$E$22-'Mass Ion Calculations'!$E20)/2-'Mass Ion Calculations'!$D$5)))</f>
        <v>#VALUE!</v>
      </c>
      <c r="U19" s="3" t="e">
        <f>IF(OR($B19="",U$3=""),"",IF('Mass Ion Calculations'!$D$6="Yes",IF('Mass Ion Calculations'!$D$7="Yes",('Mass Ion Calculations'!$D$18+'AA Exact Masses'!$Q$3+'AA Exact Masses'!$Q$3-'Mass Ion Calculations'!$C$23-'Mass Ion Calculations'!$C20)/2-'Mass Ion Calculations'!$D$5,('Mass Ion Calculations'!$F$18+'AA Exact Masses'!$Q$3+'AA Exact Masses'!$Q$3-'Mass Ion Calculations'!$E$23-'Mass Ion Calculations'!$E20)/2-'Mass Ion Calculations'!$D$5),IF('Mass Ion Calculations'!$D$7="Yes", ('Mass Ion Calculations'!$D$15+'AA Exact Masses'!$Q$3+'AA Exact Masses'!$Q$3-'Mass Ion Calculations'!$C$23-'Mass Ion Calculations'!$C20)/2-'Mass Ion Calculations'!$D$5,('Mass Ion Calculations'!$F$15+'AA Exact Masses'!$Q$3+'AA Exact Masses'!$Q$3-'Mass Ion Calculations'!$E$23-'Mass Ion Calculations'!$E20)/2-'Mass Ion Calculations'!$D$5)))</f>
        <v>#VALUE!</v>
      </c>
      <c r="V19" s="3" t="str">
        <f>IF(OR($B19="",V$3=""),"",IF('Mass Ion Calculations'!$D$6="Yes",IF('Mass Ion Calculations'!$D$7="Yes",('Mass Ion Calculations'!$D$18+'AA Exact Masses'!$Q$3+'AA Exact Masses'!$Q$3-'Mass Ion Calculations'!$C$24-'Mass Ion Calculations'!$C20)/2-'Mass Ion Calculations'!$D$5,('Mass Ion Calculations'!$F$18+'AA Exact Masses'!$Q$3+'AA Exact Masses'!$Q$3-'Mass Ion Calculations'!$E$24-'Mass Ion Calculations'!$E20)/2-'Mass Ion Calculations'!$D$5),IF('Mass Ion Calculations'!$D$7="Yes", ('Mass Ion Calculations'!$D$15+'AA Exact Masses'!$Q$3+'AA Exact Masses'!$Q$3-'Mass Ion Calculations'!$C$24-'Mass Ion Calculations'!$C20)/2-'Mass Ion Calculations'!$D$5,('Mass Ion Calculations'!$F$15+'AA Exact Masses'!$Q$3+'AA Exact Masses'!$Q$3-'Mass Ion Calculations'!$E$24-'Mass Ion Calculations'!$E20)/2-'Mass Ion Calculations'!$D$5)))</f>
        <v/>
      </c>
      <c r="W19" s="3" t="str">
        <f>IF(OR($B19="",W$3=""),"",IF('Mass Ion Calculations'!$D$6="Yes",IF('Mass Ion Calculations'!$D$7="Yes",('Mass Ion Calculations'!$D$18+'AA Exact Masses'!$Q$3+'AA Exact Masses'!$Q$3-'Mass Ion Calculations'!$C$25-'Mass Ion Calculations'!$C20)/2-'Mass Ion Calculations'!$D$5,('Mass Ion Calculations'!$F$18+'AA Exact Masses'!$Q$3+'AA Exact Masses'!$Q$3-'Mass Ion Calculations'!$E$25-'Mass Ion Calculations'!$E20)/2-'Mass Ion Calculations'!$D$5),IF('Mass Ion Calculations'!$D$7="Yes", ('Mass Ion Calculations'!$D$15+'AA Exact Masses'!$Q$3+'AA Exact Masses'!$Q$3-'Mass Ion Calculations'!$C$25-'Mass Ion Calculations'!$C20)/2-'Mass Ion Calculations'!$D$5,('Mass Ion Calculations'!$F$15+'AA Exact Masses'!$Q$3+'AA Exact Masses'!$Q$3-'Mass Ion Calculations'!$E$25-'Mass Ion Calculations'!$E20)/2-'Mass Ion Calculations'!$D$5)))</f>
        <v/>
      </c>
      <c r="X19" s="3" t="str">
        <f>IF(OR($B19="",X$3=""),"",IF('Mass Ion Calculations'!$D$6="Yes",IF('Mass Ion Calculations'!$D$7="Yes",('Mass Ion Calculations'!$D$18+'AA Exact Masses'!$Q$3+'AA Exact Masses'!$Q$3-'Mass Ion Calculations'!$C$26-'Mass Ion Calculations'!$C20)/2-'Mass Ion Calculations'!$D$5,('Mass Ion Calculations'!$F$18+'AA Exact Masses'!$Q$3+'AA Exact Masses'!$Q$3-'Mass Ion Calculations'!$E$26-'Mass Ion Calculations'!$E20)/2-'Mass Ion Calculations'!$D$5),IF('Mass Ion Calculations'!$D$7="Yes", ('Mass Ion Calculations'!$D$15+'AA Exact Masses'!$Q$3+'AA Exact Masses'!$Q$3-'Mass Ion Calculations'!$C$26-'Mass Ion Calculations'!$C20)/2-'Mass Ion Calculations'!$D$5,('Mass Ion Calculations'!$F$15+'AA Exact Masses'!$Q$3+'AA Exact Masses'!$Q$3-'Mass Ion Calculations'!$E$26-'Mass Ion Calculations'!$E20)/2-'Mass Ion Calculations'!$D$5)))</f>
        <v/>
      </c>
      <c r="Y19" s="3" t="str">
        <f>IF(OR($B19="",Y$3=""),"",IF('Mass Ion Calculations'!$D$6="Yes",IF('Mass Ion Calculations'!$D$7="Yes",('Mass Ion Calculations'!$D$18+'AA Exact Masses'!$Q$3+'AA Exact Masses'!$Q$3-'Mass Ion Calculations'!$C$27-'Mass Ion Calculations'!$C20)/2-'Mass Ion Calculations'!$D$5,('Mass Ion Calculations'!$F$18+'AA Exact Masses'!$Q$3+'AA Exact Masses'!$Q$3-'Mass Ion Calculations'!$E$27-'Mass Ion Calculations'!$E20)/2-'Mass Ion Calculations'!$D$5),IF('Mass Ion Calculations'!$D$7="Yes", ('Mass Ion Calculations'!$D$15+'AA Exact Masses'!$Q$3+'AA Exact Masses'!$Q$3-'Mass Ion Calculations'!$C$27-'Mass Ion Calculations'!$C20)/2-'Mass Ion Calculations'!$D$5,('Mass Ion Calculations'!$F$15+'AA Exact Masses'!$Q$3+'AA Exact Masses'!$Q$3-'Mass Ion Calculations'!$E$27-'Mass Ion Calculations'!$E20)/2-'Mass Ion Calculations'!$D$5)))</f>
        <v/>
      </c>
      <c r="Z19" s="3" t="str">
        <f>IF(OR($B19="",Z$3=""),"",IF('Mass Ion Calculations'!$D$6="Yes",IF('Mass Ion Calculations'!$D$7="Yes",('Mass Ion Calculations'!$D$18+'AA Exact Masses'!$Q$3+'AA Exact Masses'!$Q$3-'Mass Ion Calculations'!$C$28-'Mass Ion Calculations'!$C20)/2-'Mass Ion Calculations'!$D$5,('Mass Ion Calculations'!$F$18+'AA Exact Masses'!$Q$3+'AA Exact Masses'!$Q$3-'Mass Ion Calculations'!$E$28-'Mass Ion Calculations'!$E20)/2-'Mass Ion Calculations'!$D$5),IF('Mass Ion Calculations'!$D$7="Yes", ('Mass Ion Calculations'!$D$15+'AA Exact Masses'!$Q$3+'AA Exact Masses'!$Q$3-'Mass Ion Calculations'!$C$28-'Mass Ion Calculations'!$C20)/2-'Mass Ion Calculations'!$D$5,('Mass Ion Calculations'!$F$15+'AA Exact Masses'!$Q$3+'AA Exact Masses'!$Q$3-'Mass Ion Calculations'!$E$28-'Mass Ion Calculations'!$E20)/2-'Mass Ion Calculations'!$D$5)))</f>
        <v/>
      </c>
    </row>
    <row r="20" spans="2:26" x14ac:dyDescent="0.25">
      <c r="B20" s="4" t="str">
        <f>IF('Mass Ion Calculations'!B21="","", 'Mass Ion Calculations'!B21)</f>
        <v/>
      </c>
      <c r="C20" s="3" t="str">
        <f>IF(OR($B20="",C$3=""),"",IF('Mass Ion Calculations'!$D$6="Yes",IF('Mass Ion Calculations'!$D$7="Yes",('Mass Ion Calculations'!$D$18+'AA Exact Masses'!$Q$3+'AA Exact Masses'!$Q$3-'Mass Ion Calculations'!$C$5-'Mass Ion Calculations'!$C21)/2-'Mass Ion Calculations'!$D$5,('Mass Ion Calculations'!$F$18+'AA Exact Masses'!$Q$3+'AA Exact Masses'!$Q$3-'Mass Ion Calculations'!$E$5-'Mass Ion Calculations'!$E21)/2-'Mass Ion Calculations'!$D$5),IF('Mass Ion Calculations'!$D$7="Yes", ('Mass Ion Calculations'!$D$15+'AA Exact Masses'!$Q$3+'AA Exact Masses'!$Q$3-'Mass Ion Calculations'!$C$5-'Mass Ion Calculations'!$C21)/2-'Mass Ion Calculations'!$D$5,('Mass Ion Calculations'!$F$15+'AA Exact Masses'!$Q$3+'AA Exact Masses'!$Q$3-'Mass Ion Calculations'!$E$5-'Mass Ion Calculations'!$E21)/2-'Mass Ion Calculations'!$D$5)))</f>
        <v/>
      </c>
      <c r="D20" s="3" t="str">
        <f>IF(OR($B20="",D$3=""),"",IF('Mass Ion Calculations'!$D$6="Yes",IF('Mass Ion Calculations'!$D$7="Yes",('Mass Ion Calculations'!$D$18+'AA Exact Masses'!$Q$3+'AA Exact Masses'!$Q$3-'Mass Ion Calculations'!$C$6-'Mass Ion Calculations'!$C21)/2-'Mass Ion Calculations'!$D$5,('Mass Ion Calculations'!$F$18+'AA Exact Masses'!$Q$3+'AA Exact Masses'!$Q$3-'Mass Ion Calculations'!$E$6-'Mass Ion Calculations'!$E21)/2-'Mass Ion Calculations'!$D$5),IF('Mass Ion Calculations'!$D$7="Yes", ('Mass Ion Calculations'!$D$15+'AA Exact Masses'!$Q$3+'AA Exact Masses'!$Q$3-'Mass Ion Calculations'!$C$6-'Mass Ion Calculations'!$C21)/2-'Mass Ion Calculations'!$D$5,('Mass Ion Calculations'!$F$15+'AA Exact Masses'!$Q$3+'AA Exact Masses'!$Q$3-'Mass Ion Calculations'!$E$6-'Mass Ion Calculations'!$E21)/2-'Mass Ion Calculations'!$D$5)))</f>
        <v/>
      </c>
      <c r="E20" s="3" t="str">
        <f>IF(OR($B20="",E$3=""),"",IF('Mass Ion Calculations'!$D$6="Yes",IF('Mass Ion Calculations'!$D$7="Yes",('Mass Ion Calculations'!$D$18+'AA Exact Masses'!$Q$3+'AA Exact Masses'!$Q$3-'Mass Ion Calculations'!$C$7-'Mass Ion Calculations'!$C21)/2-'Mass Ion Calculations'!$D$5,('Mass Ion Calculations'!$F$18+'AA Exact Masses'!$Q$3+'AA Exact Masses'!$Q$3-'Mass Ion Calculations'!$E$7-'Mass Ion Calculations'!$E21)/2-'Mass Ion Calculations'!$D$5),IF('Mass Ion Calculations'!$D$7="Yes", ('Mass Ion Calculations'!$D$15+'AA Exact Masses'!$Q$3+'AA Exact Masses'!$Q$3-'Mass Ion Calculations'!$C$7-'Mass Ion Calculations'!$C21)/2-'Mass Ion Calculations'!$D$5,('Mass Ion Calculations'!$F$15+'AA Exact Masses'!$Q$3+'AA Exact Masses'!$Q$3-'Mass Ion Calculations'!$E$7-'Mass Ion Calculations'!$E21)/2-'Mass Ion Calculations'!$D$5)))</f>
        <v/>
      </c>
      <c r="F20" s="3" t="str">
        <f>IF(OR($B20="",F$3=""),"",IF('Mass Ion Calculations'!$D$6="Yes",IF('Mass Ion Calculations'!$D$7="Yes",('Mass Ion Calculations'!$D$18+'AA Exact Masses'!$Q$3+'AA Exact Masses'!$Q$3-'Mass Ion Calculations'!$C$8-'Mass Ion Calculations'!$C21)/2-'Mass Ion Calculations'!$D$5,('Mass Ion Calculations'!$F$18+'AA Exact Masses'!$Q$3+'AA Exact Masses'!$Q$3-'Mass Ion Calculations'!$E$8-'Mass Ion Calculations'!$E21)/2-'Mass Ion Calculations'!$D$5),IF('Mass Ion Calculations'!$D$7="Yes", ('Mass Ion Calculations'!$D$15+'AA Exact Masses'!$Q$3+'AA Exact Masses'!$Q$3-'Mass Ion Calculations'!$C$8-'Mass Ion Calculations'!$C21)/2-'Mass Ion Calculations'!$D$5,('Mass Ion Calculations'!$F$15+'AA Exact Masses'!$Q$3+'AA Exact Masses'!$Q$3-'Mass Ion Calculations'!$E$8-'Mass Ion Calculations'!$E21)/2-'Mass Ion Calculations'!$D$5)))</f>
        <v/>
      </c>
      <c r="G20" s="3" t="str">
        <f>IF(OR($B20="",G$3=""),"",IF('Mass Ion Calculations'!$D$6="Yes",IF('Mass Ion Calculations'!$D$7="Yes",('Mass Ion Calculations'!$D$18+'AA Exact Masses'!$Q$3+'AA Exact Masses'!$Q$3-'Mass Ion Calculations'!$C$9-'Mass Ion Calculations'!$C21)/2-'Mass Ion Calculations'!$D$5,('Mass Ion Calculations'!$F$18+'AA Exact Masses'!$Q$3+'AA Exact Masses'!$Q$3-'Mass Ion Calculations'!$E$9-'Mass Ion Calculations'!$E21)/2-'Mass Ion Calculations'!$D$5),IF('Mass Ion Calculations'!$D$7="Yes", ('Mass Ion Calculations'!$D$15+'AA Exact Masses'!$Q$3+'AA Exact Masses'!$Q$3-'Mass Ion Calculations'!$C$9-'Mass Ion Calculations'!$C21)/2-'Mass Ion Calculations'!$D$5,('Mass Ion Calculations'!$F$15+'AA Exact Masses'!$Q$3+'AA Exact Masses'!$Q$3-'Mass Ion Calculations'!$E$9-'Mass Ion Calculations'!$E21)/2-'Mass Ion Calculations'!$D$5)))</f>
        <v/>
      </c>
      <c r="H20" s="3" t="str">
        <f>IF(OR($B20="",H$3=""),"",IF('Mass Ion Calculations'!$D$6="Yes",IF('Mass Ion Calculations'!$D$7="Yes",('Mass Ion Calculations'!$D$18+'AA Exact Masses'!$Q$3+'AA Exact Masses'!$Q$3-'Mass Ion Calculations'!$C$10-'Mass Ion Calculations'!$C21)/2-'Mass Ion Calculations'!$D$5,('Mass Ion Calculations'!$F$18+'AA Exact Masses'!$Q$3+'AA Exact Masses'!$Q$3-'Mass Ion Calculations'!$E$10-'Mass Ion Calculations'!$E21)/2-'Mass Ion Calculations'!$D$5),IF('Mass Ion Calculations'!$D$7="Yes", ('Mass Ion Calculations'!$D$15+'AA Exact Masses'!$Q$3+'AA Exact Masses'!$Q$3-'Mass Ion Calculations'!$C$10-'Mass Ion Calculations'!$C21)/2-'Mass Ion Calculations'!$D$5,('Mass Ion Calculations'!$F$15+'AA Exact Masses'!$Q$3+'AA Exact Masses'!$Q$3-'Mass Ion Calculations'!$E$10-'Mass Ion Calculations'!$E21)/2-'Mass Ion Calculations'!$D$5)))</f>
        <v/>
      </c>
      <c r="I20" s="3" t="str">
        <f>IF(OR($B20="",I$3=""),"",IF('Mass Ion Calculations'!$D$6="Yes",IF('Mass Ion Calculations'!$D$7="Yes",('Mass Ion Calculations'!$D$18+'AA Exact Masses'!$Q$3+'AA Exact Masses'!$Q$3-'Mass Ion Calculations'!$C$11-'Mass Ion Calculations'!$C21)/2-'Mass Ion Calculations'!$D$5,('Mass Ion Calculations'!$F$18+'AA Exact Masses'!$Q$3+'AA Exact Masses'!$Q$3-'Mass Ion Calculations'!$E$11-'Mass Ion Calculations'!$E21)/2-'Mass Ion Calculations'!$D$5),IF('Mass Ion Calculations'!$D$7="Yes", ('Mass Ion Calculations'!$D$15+'AA Exact Masses'!$Q$3+'AA Exact Masses'!$Q$3-'Mass Ion Calculations'!$C$11-'Mass Ion Calculations'!$C21)/2-'Mass Ion Calculations'!$D$5,('Mass Ion Calculations'!$F$15+'AA Exact Masses'!$Q$3+'AA Exact Masses'!$Q$3-'Mass Ion Calculations'!$E$11-'Mass Ion Calculations'!$E21)/2-'Mass Ion Calculations'!$D$5)))</f>
        <v/>
      </c>
      <c r="J20" s="3" t="str">
        <f>IF(OR($B20="",J$3=""),"",IF('Mass Ion Calculations'!$D$6="Yes",IF('Mass Ion Calculations'!$D$7="Yes",('Mass Ion Calculations'!$D$18+'AA Exact Masses'!$Q$3+'AA Exact Masses'!$Q$3-'Mass Ion Calculations'!$C$12-'Mass Ion Calculations'!$C21)/2-'Mass Ion Calculations'!$D$5,('Mass Ion Calculations'!$F$18+'AA Exact Masses'!$Q$3+'AA Exact Masses'!$Q$3-'Mass Ion Calculations'!$E$12-'Mass Ion Calculations'!$E21)/2-'Mass Ion Calculations'!$D$5),IF('Mass Ion Calculations'!$D$7="Yes", ('Mass Ion Calculations'!$D$15+'AA Exact Masses'!$Q$3+'AA Exact Masses'!$Q$3-'Mass Ion Calculations'!$C$12-'Mass Ion Calculations'!$C21)/2-'Mass Ion Calculations'!$D$5,('Mass Ion Calculations'!$F$15+'AA Exact Masses'!$Q$3+'AA Exact Masses'!$Q$3-'Mass Ion Calculations'!$E$12-'Mass Ion Calculations'!$E21)/2-'Mass Ion Calculations'!$D$5)))</f>
        <v/>
      </c>
      <c r="K20" s="3" t="str">
        <f>IF(OR($B20="",K$3=""),"",IF('Mass Ion Calculations'!$D$6="Yes",IF('Mass Ion Calculations'!$D$7="Yes",('Mass Ion Calculations'!$D$18+'AA Exact Masses'!$Q$3+'AA Exact Masses'!$Q$3-'Mass Ion Calculations'!$C$13-'Mass Ion Calculations'!$C21)/2-'Mass Ion Calculations'!$D$5,('Mass Ion Calculations'!$F$18+'AA Exact Masses'!$Q$3+'AA Exact Masses'!$Q$3-'Mass Ion Calculations'!$E$13-'Mass Ion Calculations'!$E21)/2-'Mass Ion Calculations'!$D$5),IF('Mass Ion Calculations'!$D$7="Yes", ('Mass Ion Calculations'!$D$15+'AA Exact Masses'!$Q$3+'AA Exact Masses'!$Q$3-'Mass Ion Calculations'!$C$13-'Mass Ion Calculations'!$C21)/2-'Mass Ion Calculations'!$D$5,('Mass Ion Calculations'!$F$15+'AA Exact Masses'!$Q$3+'AA Exact Masses'!$Q$3-'Mass Ion Calculations'!$E$13-'Mass Ion Calculations'!$E21)/2-'Mass Ion Calculations'!$D$5)))</f>
        <v/>
      </c>
      <c r="L20" s="3" t="str">
        <f>IF(OR($B20="",L$3=""),"",IF('Mass Ion Calculations'!$D$6="Yes",IF('Mass Ion Calculations'!$D$7="Yes",('Mass Ion Calculations'!$D$18+'AA Exact Masses'!$Q$3+'AA Exact Masses'!$Q$3-'Mass Ion Calculations'!$C$14-'Mass Ion Calculations'!$C21)/2-'Mass Ion Calculations'!$D$5,('Mass Ion Calculations'!$F$18+'AA Exact Masses'!$Q$3+'AA Exact Masses'!$Q$3-'Mass Ion Calculations'!$E$14-'Mass Ion Calculations'!$E21)/2-'Mass Ion Calculations'!$D$5),IF('Mass Ion Calculations'!$D$7="Yes", ('Mass Ion Calculations'!$D$15+'AA Exact Masses'!$Q$3+'AA Exact Masses'!$Q$3-'Mass Ion Calculations'!$C$14-'Mass Ion Calculations'!$C21)/2-'Mass Ion Calculations'!$D$5,('Mass Ion Calculations'!$F$15+'AA Exact Masses'!$Q$3+'AA Exact Masses'!$Q$3-'Mass Ion Calculations'!$E$14-'Mass Ion Calculations'!$E21)/2-'Mass Ion Calculations'!$D$5)))</f>
        <v/>
      </c>
      <c r="M20" s="3" t="str">
        <f>IF(OR($B20="",M$3=""),"",IF('Mass Ion Calculations'!$D$6="Yes",IF('Mass Ion Calculations'!$D$7="Yes",('Mass Ion Calculations'!$D$18+'AA Exact Masses'!$Q$3+'AA Exact Masses'!$Q$3-'Mass Ion Calculations'!$C$15-'Mass Ion Calculations'!$C21)/2-'Mass Ion Calculations'!$D$5,('Mass Ion Calculations'!$F$18+'AA Exact Masses'!$Q$3+'AA Exact Masses'!$Q$3-'Mass Ion Calculations'!$E$15-'Mass Ion Calculations'!$E21)/2-'Mass Ion Calculations'!$D$5),IF('Mass Ion Calculations'!$D$7="Yes", ('Mass Ion Calculations'!$D$15+'AA Exact Masses'!$Q$3+'AA Exact Masses'!$Q$3-'Mass Ion Calculations'!$C$15-'Mass Ion Calculations'!$C21)/2-'Mass Ion Calculations'!$D$5,('Mass Ion Calculations'!$F$15+'AA Exact Masses'!$Q$3+'AA Exact Masses'!$Q$3-'Mass Ion Calculations'!$E$15-'Mass Ion Calculations'!$E21)/2-'Mass Ion Calculations'!$D$5)))</f>
        <v/>
      </c>
      <c r="N20" s="3" t="str">
        <f>IF(OR($B20="",N$3=""),"",IF('Mass Ion Calculations'!$D$6="Yes",IF('Mass Ion Calculations'!$D$7="Yes",('Mass Ion Calculations'!$D$18+'AA Exact Masses'!$Q$3+'AA Exact Masses'!$Q$3-'Mass Ion Calculations'!$C$16-'Mass Ion Calculations'!$C21)/2-'Mass Ion Calculations'!$D$5,('Mass Ion Calculations'!$F$18+'AA Exact Masses'!$Q$3+'AA Exact Masses'!$Q$3-'Mass Ion Calculations'!$E$16-'Mass Ion Calculations'!$E21)/2-'Mass Ion Calculations'!$D$5),IF('Mass Ion Calculations'!$D$7="Yes", ('Mass Ion Calculations'!$D$15+'AA Exact Masses'!$Q$3+'AA Exact Masses'!$Q$3-'Mass Ion Calculations'!$C$16-'Mass Ion Calculations'!$C21)/2-'Mass Ion Calculations'!$D$5,('Mass Ion Calculations'!$F$15+'AA Exact Masses'!$Q$3+'AA Exact Masses'!$Q$3-'Mass Ion Calculations'!$E$16-'Mass Ion Calculations'!$E21)/2-'Mass Ion Calculations'!$D$5)))</f>
        <v/>
      </c>
      <c r="O20" s="3" t="str">
        <f>IF(OR($B20="",O$3=""),"",IF('Mass Ion Calculations'!$D$6="Yes",IF('Mass Ion Calculations'!$D$7="Yes",('Mass Ion Calculations'!$D$18+'AA Exact Masses'!$Q$3+'AA Exact Masses'!$Q$3-'Mass Ion Calculations'!$C$17-'Mass Ion Calculations'!$C21)/2-'Mass Ion Calculations'!$D$5,('Mass Ion Calculations'!$F$18+'AA Exact Masses'!$Q$3+'AA Exact Masses'!$Q$3-'Mass Ion Calculations'!$E$17-'Mass Ion Calculations'!$E21)/2-'Mass Ion Calculations'!$D$5),IF('Mass Ion Calculations'!$D$7="Yes", ('Mass Ion Calculations'!$D$15+'AA Exact Masses'!$Q$3+'AA Exact Masses'!$Q$3-'Mass Ion Calculations'!$C$17-'Mass Ion Calculations'!$C21)/2-'Mass Ion Calculations'!$D$5,('Mass Ion Calculations'!$F$15+'AA Exact Masses'!$Q$3+'AA Exact Masses'!$Q$3-'Mass Ion Calculations'!$E$17-'Mass Ion Calculations'!$E21)/2-'Mass Ion Calculations'!$D$5)))</f>
        <v/>
      </c>
      <c r="P20" s="3" t="str">
        <f>IF(OR($B20="",P$3=""),"",IF('Mass Ion Calculations'!$D$6="Yes",IF('Mass Ion Calculations'!$D$7="Yes",('Mass Ion Calculations'!$D$18+'AA Exact Masses'!$Q$3+'AA Exact Masses'!$Q$3-'Mass Ion Calculations'!$C$18-'Mass Ion Calculations'!$C21)/2-'Mass Ion Calculations'!$D$5,('Mass Ion Calculations'!$F$18+'AA Exact Masses'!$Q$3+'AA Exact Masses'!$Q$3-'Mass Ion Calculations'!$E$18-'Mass Ion Calculations'!$E21)/2-'Mass Ion Calculations'!$D$5),IF('Mass Ion Calculations'!$D$7="Yes", ('Mass Ion Calculations'!$D$15+'AA Exact Masses'!$Q$3+'AA Exact Masses'!$Q$3-'Mass Ion Calculations'!$C$18-'Mass Ion Calculations'!$C21)/2-'Mass Ion Calculations'!$D$5,('Mass Ion Calculations'!$F$15+'AA Exact Masses'!$Q$3+'AA Exact Masses'!$Q$3-'Mass Ion Calculations'!$E$18-'Mass Ion Calculations'!$E21)/2-'Mass Ion Calculations'!$D$5)))</f>
        <v/>
      </c>
      <c r="Q20" s="3" t="str">
        <f>IF(OR($B20="",Q$3=""),"",IF('Mass Ion Calculations'!$D$6="Yes",IF('Mass Ion Calculations'!$D$7="Yes",('Mass Ion Calculations'!$D$18+'AA Exact Masses'!$Q$3+'AA Exact Masses'!$Q$3-'Mass Ion Calculations'!$C$19-'Mass Ion Calculations'!$C21)/2-'Mass Ion Calculations'!$D$5,('Mass Ion Calculations'!$F$18+'AA Exact Masses'!$Q$3+'AA Exact Masses'!$Q$3-'Mass Ion Calculations'!$E$19-'Mass Ion Calculations'!$E21)/2-'Mass Ion Calculations'!$D$5),IF('Mass Ion Calculations'!$D$7="Yes", ('Mass Ion Calculations'!$D$15+'AA Exact Masses'!$Q$3+'AA Exact Masses'!$Q$3-'Mass Ion Calculations'!$C$19-'Mass Ion Calculations'!$C21)/2-'Mass Ion Calculations'!$D$5,('Mass Ion Calculations'!$F$15+'AA Exact Masses'!$Q$3+'AA Exact Masses'!$Q$3-'Mass Ion Calculations'!$E$19-'Mass Ion Calculations'!$E21)/2-'Mass Ion Calculations'!$D$5)))</f>
        <v/>
      </c>
      <c r="R20" s="3" t="str">
        <f>IF(OR($B20="",R$3=""),"",IF('Mass Ion Calculations'!$D$6="Yes",IF('Mass Ion Calculations'!$D$7="Yes",('Mass Ion Calculations'!$D$18+'AA Exact Masses'!$Q$3+'AA Exact Masses'!$Q$3-'Mass Ion Calculations'!$C$20-'Mass Ion Calculations'!$C21)/2-'Mass Ion Calculations'!$D$5,('Mass Ion Calculations'!$F$18+'AA Exact Masses'!$Q$3+'AA Exact Masses'!$Q$3-'Mass Ion Calculations'!$E$20-'Mass Ion Calculations'!$E21)/2-'Mass Ion Calculations'!$D$5),IF('Mass Ion Calculations'!$D$7="Yes", ('Mass Ion Calculations'!$D$15+'AA Exact Masses'!$Q$3+'AA Exact Masses'!$Q$3-'Mass Ion Calculations'!$C$20-'Mass Ion Calculations'!$C21)/2-'Mass Ion Calculations'!$D$5,('Mass Ion Calculations'!$F$15+'AA Exact Masses'!$Q$3+'AA Exact Masses'!$Q$3-'Mass Ion Calculations'!$E$20-'Mass Ion Calculations'!$E21)/2-'Mass Ion Calculations'!$D$5)))</f>
        <v/>
      </c>
      <c r="S20" s="3" t="str">
        <f>IF(OR($B20="",S$3=""),"",IF('Mass Ion Calculations'!$D$6="Yes",IF('Mass Ion Calculations'!$D$7="Yes",('Mass Ion Calculations'!$D$18+'AA Exact Masses'!$Q$3+'AA Exact Masses'!$Q$3-'Mass Ion Calculations'!$C$21-'Mass Ion Calculations'!$C21)/2-'Mass Ion Calculations'!$D$5,('Mass Ion Calculations'!$F$18+'AA Exact Masses'!$Q$3+'AA Exact Masses'!$Q$3-'Mass Ion Calculations'!$E$21-'Mass Ion Calculations'!$E21)/2-'Mass Ion Calculations'!$D$5),IF('Mass Ion Calculations'!$D$7="Yes", ('Mass Ion Calculations'!$D$15+'AA Exact Masses'!$Q$3+'AA Exact Masses'!$Q$3-'Mass Ion Calculations'!$C$21-'Mass Ion Calculations'!$C21)/2-'Mass Ion Calculations'!$D$5,('Mass Ion Calculations'!$F$15+'AA Exact Masses'!$Q$3+'AA Exact Masses'!$Q$3-'Mass Ion Calculations'!$E$21-'Mass Ion Calculations'!$E21)/2-'Mass Ion Calculations'!$D$5)))</f>
        <v/>
      </c>
      <c r="T20" s="3" t="str">
        <f>IF(OR($B20="",T$3=""),"",IF('Mass Ion Calculations'!$D$6="Yes",IF('Mass Ion Calculations'!$D$7="Yes",('Mass Ion Calculations'!$D$18+'AA Exact Masses'!$Q$3+'AA Exact Masses'!$Q$3-'Mass Ion Calculations'!$C$22-'Mass Ion Calculations'!$C21)/2-'Mass Ion Calculations'!$D$5,('Mass Ion Calculations'!$F$18+'AA Exact Masses'!$Q$3+'AA Exact Masses'!$Q$3-'Mass Ion Calculations'!$E$22-'Mass Ion Calculations'!$E21)/2-'Mass Ion Calculations'!$D$5),IF('Mass Ion Calculations'!$D$7="Yes", ('Mass Ion Calculations'!$D$15+'AA Exact Masses'!$Q$3+'AA Exact Masses'!$Q$3-'Mass Ion Calculations'!$C$22-'Mass Ion Calculations'!$C21)/2-'Mass Ion Calculations'!$D$5,('Mass Ion Calculations'!$F$15+'AA Exact Masses'!$Q$3+'AA Exact Masses'!$Q$3-'Mass Ion Calculations'!$E$22-'Mass Ion Calculations'!$E21)/2-'Mass Ion Calculations'!$D$5)))</f>
        <v/>
      </c>
      <c r="U20" s="3" t="str">
        <f>IF(OR($B20="",U$3=""),"",IF('Mass Ion Calculations'!$D$6="Yes",IF('Mass Ion Calculations'!$D$7="Yes",('Mass Ion Calculations'!$D$18+'AA Exact Masses'!$Q$3+'AA Exact Masses'!$Q$3-'Mass Ion Calculations'!$C$23-'Mass Ion Calculations'!$C21)/2-'Mass Ion Calculations'!$D$5,('Mass Ion Calculations'!$F$18+'AA Exact Masses'!$Q$3+'AA Exact Masses'!$Q$3-'Mass Ion Calculations'!$E$23-'Mass Ion Calculations'!$E21)/2-'Mass Ion Calculations'!$D$5),IF('Mass Ion Calculations'!$D$7="Yes", ('Mass Ion Calculations'!$D$15+'AA Exact Masses'!$Q$3+'AA Exact Masses'!$Q$3-'Mass Ion Calculations'!$C$23-'Mass Ion Calculations'!$C21)/2-'Mass Ion Calculations'!$D$5,('Mass Ion Calculations'!$F$15+'AA Exact Masses'!$Q$3+'AA Exact Masses'!$Q$3-'Mass Ion Calculations'!$E$23-'Mass Ion Calculations'!$E21)/2-'Mass Ion Calculations'!$D$5)))</f>
        <v/>
      </c>
      <c r="V20" s="3" t="str">
        <f>IF(OR($B20="",V$3=""),"",IF('Mass Ion Calculations'!$D$6="Yes",IF('Mass Ion Calculations'!$D$7="Yes",('Mass Ion Calculations'!$D$18+'AA Exact Masses'!$Q$3+'AA Exact Masses'!$Q$3-'Mass Ion Calculations'!$C$24-'Mass Ion Calculations'!$C21)/2-'Mass Ion Calculations'!$D$5,('Mass Ion Calculations'!$F$18+'AA Exact Masses'!$Q$3+'AA Exact Masses'!$Q$3-'Mass Ion Calculations'!$E$24-'Mass Ion Calculations'!$E21)/2-'Mass Ion Calculations'!$D$5),IF('Mass Ion Calculations'!$D$7="Yes", ('Mass Ion Calculations'!$D$15+'AA Exact Masses'!$Q$3+'AA Exact Masses'!$Q$3-'Mass Ion Calculations'!$C$24-'Mass Ion Calculations'!$C21)/2-'Mass Ion Calculations'!$D$5,('Mass Ion Calculations'!$F$15+'AA Exact Masses'!$Q$3+'AA Exact Masses'!$Q$3-'Mass Ion Calculations'!$E$24-'Mass Ion Calculations'!$E21)/2-'Mass Ion Calculations'!$D$5)))</f>
        <v/>
      </c>
      <c r="W20" s="3" t="str">
        <f>IF(OR($B20="",W$3=""),"",IF('Mass Ion Calculations'!$D$6="Yes",IF('Mass Ion Calculations'!$D$7="Yes",('Mass Ion Calculations'!$D$18+'AA Exact Masses'!$Q$3+'AA Exact Masses'!$Q$3-'Mass Ion Calculations'!$C$25-'Mass Ion Calculations'!$C21)/2-'Mass Ion Calculations'!$D$5,('Mass Ion Calculations'!$F$18+'AA Exact Masses'!$Q$3+'AA Exact Masses'!$Q$3-'Mass Ion Calculations'!$E$25-'Mass Ion Calculations'!$E21)/2-'Mass Ion Calculations'!$D$5),IF('Mass Ion Calculations'!$D$7="Yes", ('Mass Ion Calculations'!$D$15+'AA Exact Masses'!$Q$3+'AA Exact Masses'!$Q$3-'Mass Ion Calculations'!$C$25-'Mass Ion Calculations'!$C21)/2-'Mass Ion Calculations'!$D$5,('Mass Ion Calculations'!$F$15+'AA Exact Masses'!$Q$3+'AA Exact Masses'!$Q$3-'Mass Ion Calculations'!$E$25-'Mass Ion Calculations'!$E21)/2-'Mass Ion Calculations'!$D$5)))</f>
        <v/>
      </c>
      <c r="X20" s="3" t="str">
        <f>IF(OR($B20="",X$3=""),"",IF('Mass Ion Calculations'!$D$6="Yes",IF('Mass Ion Calculations'!$D$7="Yes",('Mass Ion Calculations'!$D$18+'AA Exact Masses'!$Q$3+'AA Exact Masses'!$Q$3-'Mass Ion Calculations'!$C$26-'Mass Ion Calculations'!$C21)/2-'Mass Ion Calculations'!$D$5,('Mass Ion Calculations'!$F$18+'AA Exact Masses'!$Q$3+'AA Exact Masses'!$Q$3-'Mass Ion Calculations'!$E$26-'Mass Ion Calculations'!$E21)/2-'Mass Ion Calculations'!$D$5),IF('Mass Ion Calculations'!$D$7="Yes", ('Mass Ion Calculations'!$D$15+'AA Exact Masses'!$Q$3+'AA Exact Masses'!$Q$3-'Mass Ion Calculations'!$C$26-'Mass Ion Calculations'!$C21)/2-'Mass Ion Calculations'!$D$5,('Mass Ion Calculations'!$F$15+'AA Exact Masses'!$Q$3+'AA Exact Masses'!$Q$3-'Mass Ion Calculations'!$E$26-'Mass Ion Calculations'!$E21)/2-'Mass Ion Calculations'!$D$5)))</f>
        <v/>
      </c>
      <c r="Y20" s="3" t="str">
        <f>IF(OR($B20="",Y$3=""),"",IF('Mass Ion Calculations'!$D$6="Yes",IF('Mass Ion Calculations'!$D$7="Yes",('Mass Ion Calculations'!$D$18+'AA Exact Masses'!$Q$3+'AA Exact Masses'!$Q$3-'Mass Ion Calculations'!$C$27-'Mass Ion Calculations'!$C21)/2-'Mass Ion Calculations'!$D$5,('Mass Ion Calculations'!$F$18+'AA Exact Masses'!$Q$3+'AA Exact Masses'!$Q$3-'Mass Ion Calculations'!$E$27-'Mass Ion Calculations'!$E21)/2-'Mass Ion Calculations'!$D$5),IF('Mass Ion Calculations'!$D$7="Yes", ('Mass Ion Calculations'!$D$15+'AA Exact Masses'!$Q$3+'AA Exact Masses'!$Q$3-'Mass Ion Calculations'!$C$27-'Mass Ion Calculations'!$C21)/2-'Mass Ion Calculations'!$D$5,('Mass Ion Calculations'!$F$15+'AA Exact Masses'!$Q$3+'AA Exact Masses'!$Q$3-'Mass Ion Calculations'!$E$27-'Mass Ion Calculations'!$E21)/2-'Mass Ion Calculations'!$D$5)))</f>
        <v/>
      </c>
      <c r="Z20" s="3" t="str">
        <f>IF(OR($B20="",Z$3=""),"",IF('Mass Ion Calculations'!$D$6="Yes",IF('Mass Ion Calculations'!$D$7="Yes",('Mass Ion Calculations'!$D$18+'AA Exact Masses'!$Q$3+'AA Exact Masses'!$Q$3-'Mass Ion Calculations'!$C$28-'Mass Ion Calculations'!$C21)/2-'Mass Ion Calculations'!$D$5,('Mass Ion Calculations'!$F$18+'AA Exact Masses'!$Q$3+'AA Exact Masses'!$Q$3-'Mass Ion Calculations'!$E$28-'Mass Ion Calculations'!$E21)/2-'Mass Ion Calculations'!$D$5),IF('Mass Ion Calculations'!$D$7="Yes", ('Mass Ion Calculations'!$D$15+'AA Exact Masses'!$Q$3+'AA Exact Masses'!$Q$3-'Mass Ion Calculations'!$C$28-'Mass Ion Calculations'!$C21)/2-'Mass Ion Calculations'!$D$5,('Mass Ion Calculations'!$F$15+'AA Exact Masses'!$Q$3+'AA Exact Masses'!$Q$3-'Mass Ion Calculations'!$E$28-'Mass Ion Calculations'!$E21)/2-'Mass Ion Calculations'!$D$5)))</f>
        <v/>
      </c>
    </row>
    <row r="21" spans="2:26" x14ac:dyDescent="0.25">
      <c r="B21" s="4" t="str">
        <f>IF('Mass Ion Calculations'!B22="","", 'Mass Ion Calculations'!B22)</f>
        <v>HOAt</v>
      </c>
      <c r="C21" s="3" t="e">
        <f>IF(OR($B21="",C$3=""),"",IF('Mass Ion Calculations'!$D$6="Yes",IF('Mass Ion Calculations'!$D$7="Yes",('Mass Ion Calculations'!$D$18+'AA Exact Masses'!$Q$3+'AA Exact Masses'!$Q$3-'Mass Ion Calculations'!$C$5-'Mass Ion Calculations'!$C22)/2-'Mass Ion Calculations'!$D$5,('Mass Ion Calculations'!$F$18+'AA Exact Masses'!$Q$3+'AA Exact Masses'!$Q$3-'Mass Ion Calculations'!$E$5-'Mass Ion Calculations'!$E22)/2-'Mass Ion Calculations'!$D$5),IF('Mass Ion Calculations'!$D$7="Yes", ('Mass Ion Calculations'!$D$15+'AA Exact Masses'!$Q$3+'AA Exact Masses'!$Q$3-'Mass Ion Calculations'!$C$5-'Mass Ion Calculations'!$C22)/2-'Mass Ion Calculations'!$D$5,('Mass Ion Calculations'!$F$15+'AA Exact Masses'!$Q$3+'AA Exact Masses'!$Q$3-'Mass Ion Calculations'!$E$5-'Mass Ion Calculations'!$E22)/2-'Mass Ion Calculations'!$D$5)))</f>
        <v>#VALUE!</v>
      </c>
      <c r="D21" s="3" t="e">
        <f>IF(OR($B21="",D$3=""),"",IF('Mass Ion Calculations'!$D$6="Yes",IF('Mass Ion Calculations'!$D$7="Yes",('Mass Ion Calculations'!$D$18+'AA Exact Masses'!$Q$3+'AA Exact Masses'!$Q$3-'Mass Ion Calculations'!$C$6-'Mass Ion Calculations'!$C22)/2-'Mass Ion Calculations'!$D$5,('Mass Ion Calculations'!$F$18+'AA Exact Masses'!$Q$3+'AA Exact Masses'!$Q$3-'Mass Ion Calculations'!$E$6-'Mass Ion Calculations'!$E22)/2-'Mass Ion Calculations'!$D$5),IF('Mass Ion Calculations'!$D$7="Yes", ('Mass Ion Calculations'!$D$15+'AA Exact Masses'!$Q$3+'AA Exact Masses'!$Q$3-'Mass Ion Calculations'!$C$6-'Mass Ion Calculations'!$C22)/2-'Mass Ion Calculations'!$D$5,('Mass Ion Calculations'!$F$15+'AA Exact Masses'!$Q$3+'AA Exact Masses'!$Q$3-'Mass Ion Calculations'!$E$6-'Mass Ion Calculations'!$E22)/2-'Mass Ion Calculations'!$D$5)))</f>
        <v>#VALUE!</v>
      </c>
      <c r="E21" s="3" t="e">
        <f>IF(OR($B21="",E$3=""),"",IF('Mass Ion Calculations'!$D$6="Yes",IF('Mass Ion Calculations'!$D$7="Yes",('Mass Ion Calculations'!$D$18+'AA Exact Masses'!$Q$3+'AA Exact Masses'!$Q$3-'Mass Ion Calculations'!$C$7-'Mass Ion Calculations'!$C22)/2-'Mass Ion Calculations'!$D$5,('Mass Ion Calculations'!$F$18+'AA Exact Masses'!$Q$3+'AA Exact Masses'!$Q$3-'Mass Ion Calculations'!$E$7-'Mass Ion Calculations'!$E22)/2-'Mass Ion Calculations'!$D$5),IF('Mass Ion Calculations'!$D$7="Yes", ('Mass Ion Calculations'!$D$15+'AA Exact Masses'!$Q$3+'AA Exact Masses'!$Q$3-'Mass Ion Calculations'!$C$7-'Mass Ion Calculations'!$C22)/2-'Mass Ion Calculations'!$D$5,('Mass Ion Calculations'!$F$15+'AA Exact Masses'!$Q$3+'AA Exact Masses'!$Q$3-'Mass Ion Calculations'!$E$7-'Mass Ion Calculations'!$E22)/2-'Mass Ion Calculations'!$D$5)))</f>
        <v>#VALUE!</v>
      </c>
      <c r="F21" s="3" t="e">
        <f>IF(OR($B21="",F$3=""),"",IF('Mass Ion Calculations'!$D$6="Yes",IF('Mass Ion Calculations'!$D$7="Yes",('Mass Ion Calculations'!$D$18+'AA Exact Masses'!$Q$3+'AA Exact Masses'!$Q$3-'Mass Ion Calculations'!$C$8-'Mass Ion Calculations'!$C22)/2-'Mass Ion Calculations'!$D$5,('Mass Ion Calculations'!$F$18+'AA Exact Masses'!$Q$3+'AA Exact Masses'!$Q$3-'Mass Ion Calculations'!$E$8-'Mass Ion Calculations'!$E22)/2-'Mass Ion Calculations'!$D$5),IF('Mass Ion Calculations'!$D$7="Yes", ('Mass Ion Calculations'!$D$15+'AA Exact Masses'!$Q$3+'AA Exact Masses'!$Q$3-'Mass Ion Calculations'!$C$8-'Mass Ion Calculations'!$C22)/2-'Mass Ion Calculations'!$D$5,('Mass Ion Calculations'!$F$15+'AA Exact Masses'!$Q$3+'AA Exact Masses'!$Q$3-'Mass Ion Calculations'!$E$8-'Mass Ion Calculations'!$E22)/2-'Mass Ion Calculations'!$D$5)))</f>
        <v>#VALUE!</v>
      </c>
      <c r="G21" s="3" t="e">
        <f>IF(OR($B21="",G$3=""),"",IF('Mass Ion Calculations'!$D$6="Yes",IF('Mass Ion Calculations'!$D$7="Yes",('Mass Ion Calculations'!$D$18+'AA Exact Masses'!$Q$3+'AA Exact Masses'!$Q$3-'Mass Ion Calculations'!$C$9-'Mass Ion Calculations'!$C22)/2-'Mass Ion Calculations'!$D$5,('Mass Ion Calculations'!$F$18+'AA Exact Masses'!$Q$3+'AA Exact Masses'!$Q$3-'Mass Ion Calculations'!$E$9-'Mass Ion Calculations'!$E22)/2-'Mass Ion Calculations'!$D$5),IF('Mass Ion Calculations'!$D$7="Yes", ('Mass Ion Calculations'!$D$15+'AA Exact Masses'!$Q$3+'AA Exact Masses'!$Q$3-'Mass Ion Calculations'!$C$9-'Mass Ion Calculations'!$C22)/2-'Mass Ion Calculations'!$D$5,('Mass Ion Calculations'!$F$15+'AA Exact Masses'!$Q$3+'AA Exact Masses'!$Q$3-'Mass Ion Calculations'!$E$9-'Mass Ion Calculations'!$E22)/2-'Mass Ion Calculations'!$D$5)))</f>
        <v>#VALUE!</v>
      </c>
      <c r="H21" s="3" t="e">
        <f>IF(OR($B21="",H$3=""),"",IF('Mass Ion Calculations'!$D$6="Yes",IF('Mass Ion Calculations'!$D$7="Yes",('Mass Ion Calculations'!$D$18+'AA Exact Masses'!$Q$3+'AA Exact Masses'!$Q$3-'Mass Ion Calculations'!$C$10-'Mass Ion Calculations'!$C22)/2-'Mass Ion Calculations'!$D$5,('Mass Ion Calculations'!$F$18+'AA Exact Masses'!$Q$3+'AA Exact Masses'!$Q$3-'Mass Ion Calculations'!$E$10-'Mass Ion Calculations'!$E22)/2-'Mass Ion Calculations'!$D$5),IF('Mass Ion Calculations'!$D$7="Yes", ('Mass Ion Calculations'!$D$15+'AA Exact Masses'!$Q$3+'AA Exact Masses'!$Q$3-'Mass Ion Calculations'!$C$10-'Mass Ion Calculations'!$C22)/2-'Mass Ion Calculations'!$D$5,('Mass Ion Calculations'!$F$15+'AA Exact Masses'!$Q$3+'AA Exact Masses'!$Q$3-'Mass Ion Calculations'!$E$10-'Mass Ion Calculations'!$E22)/2-'Mass Ion Calculations'!$D$5)))</f>
        <v>#VALUE!</v>
      </c>
      <c r="I21" s="3" t="e">
        <f>IF(OR($B21="",I$3=""),"",IF('Mass Ion Calculations'!$D$6="Yes",IF('Mass Ion Calculations'!$D$7="Yes",('Mass Ion Calculations'!$D$18+'AA Exact Masses'!$Q$3+'AA Exact Masses'!$Q$3-'Mass Ion Calculations'!$C$11-'Mass Ion Calculations'!$C22)/2-'Mass Ion Calculations'!$D$5,('Mass Ion Calculations'!$F$18+'AA Exact Masses'!$Q$3+'AA Exact Masses'!$Q$3-'Mass Ion Calculations'!$E$11-'Mass Ion Calculations'!$E22)/2-'Mass Ion Calculations'!$D$5),IF('Mass Ion Calculations'!$D$7="Yes", ('Mass Ion Calculations'!$D$15+'AA Exact Masses'!$Q$3+'AA Exact Masses'!$Q$3-'Mass Ion Calculations'!$C$11-'Mass Ion Calculations'!$C22)/2-'Mass Ion Calculations'!$D$5,('Mass Ion Calculations'!$F$15+'AA Exact Masses'!$Q$3+'AA Exact Masses'!$Q$3-'Mass Ion Calculations'!$E$11-'Mass Ion Calculations'!$E22)/2-'Mass Ion Calculations'!$D$5)))</f>
        <v>#VALUE!</v>
      </c>
      <c r="J21" s="3" t="e">
        <f>IF(OR($B21="",J$3=""),"",IF('Mass Ion Calculations'!$D$6="Yes",IF('Mass Ion Calculations'!$D$7="Yes",('Mass Ion Calculations'!$D$18+'AA Exact Masses'!$Q$3+'AA Exact Masses'!$Q$3-'Mass Ion Calculations'!$C$12-'Mass Ion Calculations'!$C22)/2-'Mass Ion Calculations'!$D$5,('Mass Ion Calculations'!$F$18+'AA Exact Masses'!$Q$3+'AA Exact Masses'!$Q$3-'Mass Ion Calculations'!$E$12-'Mass Ion Calculations'!$E22)/2-'Mass Ion Calculations'!$D$5),IF('Mass Ion Calculations'!$D$7="Yes", ('Mass Ion Calculations'!$D$15+'AA Exact Masses'!$Q$3+'AA Exact Masses'!$Q$3-'Mass Ion Calculations'!$C$12-'Mass Ion Calculations'!$C22)/2-'Mass Ion Calculations'!$D$5,('Mass Ion Calculations'!$F$15+'AA Exact Masses'!$Q$3+'AA Exact Masses'!$Q$3-'Mass Ion Calculations'!$E$12-'Mass Ion Calculations'!$E22)/2-'Mass Ion Calculations'!$D$5)))</f>
        <v>#VALUE!</v>
      </c>
      <c r="K21" s="3" t="e">
        <f>IF(OR($B21="",K$3=""),"",IF('Mass Ion Calculations'!$D$6="Yes",IF('Mass Ion Calculations'!$D$7="Yes",('Mass Ion Calculations'!$D$18+'AA Exact Masses'!$Q$3+'AA Exact Masses'!$Q$3-'Mass Ion Calculations'!$C$13-'Mass Ion Calculations'!$C22)/2-'Mass Ion Calculations'!$D$5,('Mass Ion Calculations'!$F$18+'AA Exact Masses'!$Q$3+'AA Exact Masses'!$Q$3-'Mass Ion Calculations'!$E$13-'Mass Ion Calculations'!$E22)/2-'Mass Ion Calculations'!$D$5),IF('Mass Ion Calculations'!$D$7="Yes", ('Mass Ion Calculations'!$D$15+'AA Exact Masses'!$Q$3+'AA Exact Masses'!$Q$3-'Mass Ion Calculations'!$C$13-'Mass Ion Calculations'!$C22)/2-'Mass Ion Calculations'!$D$5,('Mass Ion Calculations'!$F$15+'AA Exact Masses'!$Q$3+'AA Exact Masses'!$Q$3-'Mass Ion Calculations'!$E$13-'Mass Ion Calculations'!$E22)/2-'Mass Ion Calculations'!$D$5)))</f>
        <v>#VALUE!</v>
      </c>
      <c r="L21" s="3" t="e">
        <f>IF(OR($B21="",L$3=""),"",IF('Mass Ion Calculations'!$D$6="Yes",IF('Mass Ion Calculations'!$D$7="Yes",('Mass Ion Calculations'!$D$18+'AA Exact Masses'!$Q$3+'AA Exact Masses'!$Q$3-'Mass Ion Calculations'!$C$14-'Mass Ion Calculations'!$C22)/2-'Mass Ion Calculations'!$D$5,('Mass Ion Calculations'!$F$18+'AA Exact Masses'!$Q$3+'AA Exact Masses'!$Q$3-'Mass Ion Calculations'!$E$14-'Mass Ion Calculations'!$E22)/2-'Mass Ion Calculations'!$D$5),IF('Mass Ion Calculations'!$D$7="Yes", ('Mass Ion Calculations'!$D$15+'AA Exact Masses'!$Q$3+'AA Exact Masses'!$Q$3-'Mass Ion Calculations'!$C$14-'Mass Ion Calculations'!$C22)/2-'Mass Ion Calculations'!$D$5,('Mass Ion Calculations'!$F$15+'AA Exact Masses'!$Q$3+'AA Exact Masses'!$Q$3-'Mass Ion Calculations'!$E$14-'Mass Ion Calculations'!$E22)/2-'Mass Ion Calculations'!$D$5)))</f>
        <v>#VALUE!</v>
      </c>
      <c r="M21" s="3" t="e">
        <f>IF(OR($B21="",M$3=""),"",IF('Mass Ion Calculations'!$D$6="Yes",IF('Mass Ion Calculations'!$D$7="Yes",('Mass Ion Calculations'!$D$18+'AA Exact Masses'!$Q$3+'AA Exact Masses'!$Q$3-'Mass Ion Calculations'!$C$15-'Mass Ion Calculations'!$C22)/2-'Mass Ion Calculations'!$D$5,('Mass Ion Calculations'!$F$18+'AA Exact Masses'!$Q$3+'AA Exact Masses'!$Q$3-'Mass Ion Calculations'!$E$15-'Mass Ion Calculations'!$E22)/2-'Mass Ion Calculations'!$D$5),IF('Mass Ion Calculations'!$D$7="Yes", ('Mass Ion Calculations'!$D$15+'AA Exact Masses'!$Q$3+'AA Exact Masses'!$Q$3-'Mass Ion Calculations'!$C$15-'Mass Ion Calculations'!$C22)/2-'Mass Ion Calculations'!$D$5,('Mass Ion Calculations'!$F$15+'AA Exact Masses'!$Q$3+'AA Exact Masses'!$Q$3-'Mass Ion Calculations'!$E$15-'Mass Ion Calculations'!$E22)/2-'Mass Ion Calculations'!$D$5)))</f>
        <v>#VALUE!</v>
      </c>
      <c r="N21" s="3" t="e">
        <f>IF(OR($B21="",N$3=""),"",IF('Mass Ion Calculations'!$D$6="Yes",IF('Mass Ion Calculations'!$D$7="Yes",('Mass Ion Calculations'!$D$18+'AA Exact Masses'!$Q$3+'AA Exact Masses'!$Q$3-'Mass Ion Calculations'!$C$16-'Mass Ion Calculations'!$C22)/2-'Mass Ion Calculations'!$D$5,('Mass Ion Calculations'!$F$18+'AA Exact Masses'!$Q$3+'AA Exact Masses'!$Q$3-'Mass Ion Calculations'!$E$16-'Mass Ion Calculations'!$E22)/2-'Mass Ion Calculations'!$D$5),IF('Mass Ion Calculations'!$D$7="Yes", ('Mass Ion Calculations'!$D$15+'AA Exact Masses'!$Q$3+'AA Exact Masses'!$Q$3-'Mass Ion Calculations'!$C$16-'Mass Ion Calculations'!$C22)/2-'Mass Ion Calculations'!$D$5,('Mass Ion Calculations'!$F$15+'AA Exact Masses'!$Q$3+'AA Exact Masses'!$Q$3-'Mass Ion Calculations'!$E$16-'Mass Ion Calculations'!$E22)/2-'Mass Ion Calculations'!$D$5)))</f>
        <v>#VALUE!</v>
      </c>
      <c r="O21" s="3" t="e">
        <f>IF(OR($B21="",O$3=""),"",IF('Mass Ion Calculations'!$D$6="Yes",IF('Mass Ion Calculations'!$D$7="Yes",('Mass Ion Calculations'!$D$18+'AA Exact Masses'!$Q$3+'AA Exact Masses'!$Q$3-'Mass Ion Calculations'!$C$17-'Mass Ion Calculations'!$C22)/2-'Mass Ion Calculations'!$D$5,('Mass Ion Calculations'!$F$18+'AA Exact Masses'!$Q$3+'AA Exact Masses'!$Q$3-'Mass Ion Calculations'!$E$17-'Mass Ion Calculations'!$E22)/2-'Mass Ion Calculations'!$D$5),IF('Mass Ion Calculations'!$D$7="Yes", ('Mass Ion Calculations'!$D$15+'AA Exact Masses'!$Q$3+'AA Exact Masses'!$Q$3-'Mass Ion Calculations'!$C$17-'Mass Ion Calculations'!$C22)/2-'Mass Ion Calculations'!$D$5,('Mass Ion Calculations'!$F$15+'AA Exact Masses'!$Q$3+'AA Exact Masses'!$Q$3-'Mass Ion Calculations'!$E$17-'Mass Ion Calculations'!$E22)/2-'Mass Ion Calculations'!$D$5)))</f>
        <v>#VALUE!</v>
      </c>
      <c r="P21" s="3" t="e">
        <f>IF(OR($B21="",P$3=""),"",IF('Mass Ion Calculations'!$D$6="Yes",IF('Mass Ion Calculations'!$D$7="Yes",('Mass Ion Calculations'!$D$18+'AA Exact Masses'!$Q$3+'AA Exact Masses'!$Q$3-'Mass Ion Calculations'!$C$18-'Mass Ion Calculations'!$C22)/2-'Mass Ion Calculations'!$D$5,('Mass Ion Calculations'!$F$18+'AA Exact Masses'!$Q$3+'AA Exact Masses'!$Q$3-'Mass Ion Calculations'!$E$18-'Mass Ion Calculations'!$E22)/2-'Mass Ion Calculations'!$D$5),IF('Mass Ion Calculations'!$D$7="Yes", ('Mass Ion Calculations'!$D$15+'AA Exact Masses'!$Q$3+'AA Exact Masses'!$Q$3-'Mass Ion Calculations'!$C$18-'Mass Ion Calculations'!$C22)/2-'Mass Ion Calculations'!$D$5,('Mass Ion Calculations'!$F$15+'AA Exact Masses'!$Q$3+'AA Exact Masses'!$Q$3-'Mass Ion Calculations'!$E$18-'Mass Ion Calculations'!$E22)/2-'Mass Ion Calculations'!$D$5)))</f>
        <v>#VALUE!</v>
      </c>
      <c r="Q21" s="3" t="e">
        <f>IF(OR($B21="",Q$3=""),"",IF('Mass Ion Calculations'!$D$6="Yes",IF('Mass Ion Calculations'!$D$7="Yes",('Mass Ion Calculations'!$D$18+'AA Exact Masses'!$Q$3+'AA Exact Masses'!$Q$3-'Mass Ion Calculations'!$C$19-'Mass Ion Calculations'!$C22)/2-'Mass Ion Calculations'!$D$5,('Mass Ion Calculations'!$F$18+'AA Exact Masses'!$Q$3+'AA Exact Masses'!$Q$3-'Mass Ion Calculations'!$E$19-'Mass Ion Calculations'!$E22)/2-'Mass Ion Calculations'!$D$5),IF('Mass Ion Calculations'!$D$7="Yes", ('Mass Ion Calculations'!$D$15+'AA Exact Masses'!$Q$3+'AA Exact Masses'!$Q$3-'Mass Ion Calculations'!$C$19-'Mass Ion Calculations'!$C22)/2-'Mass Ion Calculations'!$D$5,('Mass Ion Calculations'!$F$15+'AA Exact Masses'!$Q$3+'AA Exact Masses'!$Q$3-'Mass Ion Calculations'!$E$19-'Mass Ion Calculations'!$E22)/2-'Mass Ion Calculations'!$D$5)))</f>
        <v>#VALUE!</v>
      </c>
      <c r="R21" s="3" t="e">
        <f>IF(OR($B21="",R$3=""),"",IF('Mass Ion Calculations'!$D$6="Yes",IF('Mass Ion Calculations'!$D$7="Yes",('Mass Ion Calculations'!$D$18+'AA Exact Masses'!$Q$3+'AA Exact Masses'!$Q$3-'Mass Ion Calculations'!$C$20-'Mass Ion Calculations'!$C22)/2-'Mass Ion Calculations'!$D$5,('Mass Ion Calculations'!$F$18+'AA Exact Masses'!$Q$3+'AA Exact Masses'!$Q$3-'Mass Ion Calculations'!$E$20-'Mass Ion Calculations'!$E22)/2-'Mass Ion Calculations'!$D$5),IF('Mass Ion Calculations'!$D$7="Yes", ('Mass Ion Calculations'!$D$15+'AA Exact Masses'!$Q$3+'AA Exact Masses'!$Q$3-'Mass Ion Calculations'!$C$20-'Mass Ion Calculations'!$C22)/2-'Mass Ion Calculations'!$D$5,('Mass Ion Calculations'!$F$15+'AA Exact Masses'!$Q$3+'AA Exact Masses'!$Q$3-'Mass Ion Calculations'!$E$20-'Mass Ion Calculations'!$E22)/2-'Mass Ion Calculations'!$D$5)))</f>
        <v>#VALUE!</v>
      </c>
      <c r="S21" s="3" t="str">
        <f>IF(OR($B21="",S$3=""),"",IF('Mass Ion Calculations'!$D$6="Yes",IF('Mass Ion Calculations'!$D$7="Yes",('Mass Ion Calculations'!$D$18+'AA Exact Masses'!$Q$3+'AA Exact Masses'!$Q$3-'Mass Ion Calculations'!$C$21-'Mass Ion Calculations'!$C22)/2-'Mass Ion Calculations'!$D$5,('Mass Ion Calculations'!$F$18+'AA Exact Masses'!$Q$3+'AA Exact Masses'!$Q$3-'Mass Ion Calculations'!$E$21-'Mass Ion Calculations'!$E22)/2-'Mass Ion Calculations'!$D$5),IF('Mass Ion Calculations'!$D$7="Yes", ('Mass Ion Calculations'!$D$15+'AA Exact Masses'!$Q$3+'AA Exact Masses'!$Q$3-'Mass Ion Calculations'!$C$21-'Mass Ion Calculations'!$C22)/2-'Mass Ion Calculations'!$D$5,('Mass Ion Calculations'!$F$15+'AA Exact Masses'!$Q$3+'AA Exact Masses'!$Q$3-'Mass Ion Calculations'!$E$21-'Mass Ion Calculations'!$E22)/2-'Mass Ion Calculations'!$D$5)))</f>
        <v/>
      </c>
      <c r="T21" s="3" t="e">
        <f>IF(OR($B21="",T$3=""),"",IF('Mass Ion Calculations'!$D$6="Yes",IF('Mass Ion Calculations'!$D$7="Yes",('Mass Ion Calculations'!$D$18+'AA Exact Masses'!$Q$3+'AA Exact Masses'!$Q$3-'Mass Ion Calculations'!$C$22-'Mass Ion Calculations'!$C22)/2-'Mass Ion Calculations'!$D$5,('Mass Ion Calculations'!$F$18+'AA Exact Masses'!$Q$3+'AA Exact Masses'!$Q$3-'Mass Ion Calculations'!$E$22-'Mass Ion Calculations'!$E22)/2-'Mass Ion Calculations'!$D$5),IF('Mass Ion Calculations'!$D$7="Yes", ('Mass Ion Calculations'!$D$15+'AA Exact Masses'!$Q$3+'AA Exact Masses'!$Q$3-'Mass Ion Calculations'!$C$22-'Mass Ion Calculations'!$C22)/2-'Mass Ion Calculations'!$D$5,('Mass Ion Calculations'!$F$15+'AA Exact Masses'!$Q$3+'AA Exact Masses'!$Q$3-'Mass Ion Calculations'!$E$22-'Mass Ion Calculations'!$E22)/2-'Mass Ion Calculations'!$D$5)))</f>
        <v>#VALUE!</v>
      </c>
      <c r="U21" s="3" t="e">
        <f>IF(OR($B21="",U$3=""),"",IF('Mass Ion Calculations'!$D$6="Yes",IF('Mass Ion Calculations'!$D$7="Yes",('Mass Ion Calculations'!$D$18+'AA Exact Masses'!$Q$3+'AA Exact Masses'!$Q$3-'Mass Ion Calculations'!$C$23-'Mass Ion Calculations'!$C22)/2-'Mass Ion Calculations'!$D$5,('Mass Ion Calculations'!$F$18+'AA Exact Masses'!$Q$3+'AA Exact Masses'!$Q$3-'Mass Ion Calculations'!$E$23-'Mass Ion Calculations'!$E22)/2-'Mass Ion Calculations'!$D$5),IF('Mass Ion Calculations'!$D$7="Yes", ('Mass Ion Calculations'!$D$15+'AA Exact Masses'!$Q$3+'AA Exact Masses'!$Q$3-'Mass Ion Calculations'!$C$23-'Mass Ion Calculations'!$C22)/2-'Mass Ion Calculations'!$D$5,('Mass Ion Calculations'!$F$15+'AA Exact Masses'!$Q$3+'AA Exact Masses'!$Q$3-'Mass Ion Calculations'!$E$23-'Mass Ion Calculations'!$E22)/2-'Mass Ion Calculations'!$D$5)))</f>
        <v>#VALUE!</v>
      </c>
      <c r="V21" s="3" t="str">
        <f>IF(OR($B21="",V$3=""),"",IF('Mass Ion Calculations'!$D$6="Yes",IF('Mass Ion Calculations'!$D$7="Yes",('Mass Ion Calculations'!$D$18+'AA Exact Masses'!$Q$3+'AA Exact Masses'!$Q$3-'Mass Ion Calculations'!$C$24-'Mass Ion Calculations'!$C22)/2-'Mass Ion Calculations'!$D$5,('Mass Ion Calculations'!$F$18+'AA Exact Masses'!$Q$3+'AA Exact Masses'!$Q$3-'Mass Ion Calculations'!$E$24-'Mass Ion Calculations'!$E22)/2-'Mass Ion Calculations'!$D$5),IF('Mass Ion Calculations'!$D$7="Yes", ('Mass Ion Calculations'!$D$15+'AA Exact Masses'!$Q$3+'AA Exact Masses'!$Q$3-'Mass Ion Calculations'!$C$24-'Mass Ion Calculations'!$C22)/2-'Mass Ion Calculations'!$D$5,('Mass Ion Calculations'!$F$15+'AA Exact Masses'!$Q$3+'AA Exact Masses'!$Q$3-'Mass Ion Calculations'!$E$24-'Mass Ion Calculations'!$E22)/2-'Mass Ion Calculations'!$D$5)))</f>
        <v/>
      </c>
      <c r="W21" s="3" t="str">
        <f>IF(OR($B21="",W$3=""),"",IF('Mass Ion Calculations'!$D$6="Yes",IF('Mass Ion Calculations'!$D$7="Yes",('Mass Ion Calculations'!$D$18+'AA Exact Masses'!$Q$3+'AA Exact Masses'!$Q$3-'Mass Ion Calculations'!$C$25-'Mass Ion Calculations'!$C22)/2-'Mass Ion Calculations'!$D$5,('Mass Ion Calculations'!$F$18+'AA Exact Masses'!$Q$3+'AA Exact Masses'!$Q$3-'Mass Ion Calculations'!$E$25-'Mass Ion Calculations'!$E22)/2-'Mass Ion Calculations'!$D$5),IF('Mass Ion Calculations'!$D$7="Yes", ('Mass Ion Calculations'!$D$15+'AA Exact Masses'!$Q$3+'AA Exact Masses'!$Q$3-'Mass Ion Calculations'!$C$25-'Mass Ion Calculations'!$C22)/2-'Mass Ion Calculations'!$D$5,('Mass Ion Calculations'!$F$15+'AA Exact Masses'!$Q$3+'AA Exact Masses'!$Q$3-'Mass Ion Calculations'!$E$25-'Mass Ion Calculations'!$E22)/2-'Mass Ion Calculations'!$D$5)))</f>
        <v/>
      </c>
      <c r="X21" s="3" t="str">
        <f>IF(OR($B21="",X$3=""),"",IF('Mass Ion Calculations'!$D$6="Yes",IF('Mass Ion Calculations'!$D$7="Yes",('Mass Ion Calculations'!$D$18+'AA Exact Masses'!$Q$3+'AA Exact Masses'!$Q$3-'Mass Ion Calculations'!$C$26-'Mass Ion Calculations'!$C22)/2-'Mass Ion Calculations'!$D$5,('Mass Ion Calculations'!$F$18+'AA Exact Masses'!$Q$3+'AA Exact Masses'!$Q$3-'Mass Ion Calculations'!$E$26-'Mass Ion Calculations'!$E22)/2-'Mass Ion Calculations'!$D$5),IF('Mass Ion Calculations'!$D$7="Yes", ('Mass Ion Calculations'!$D$15+'AA Exact Masses'!$Q$3+'AA Exact Masses'!$Q$3-'Mass Ion Calculations'!$C$26-'Mass Ion Calculations'!$C22)/2-'Mass Ion Calculations'!$D$5,('Mass Ion Calculations'!$F$15+'AA Exact Masses'!$Q$3+'AA Exact Masses'!$Q$3-'Mass Ion Calculations'!$E$26-'Mass Ion Calculations'!$E22)/2-'Mass Ion Calculations'!$D$5)))</f>
        <v/>
      </c>
      <c r="Y21" s="3" t="str">
        <f>IF(OR($B21="",Y$3=""),"",IF('Mass Ion Calculations'!$D$6="Yes",IF('Mass Ion Calculations'!$D$7="Yes",('Mass Ion Calculations'!$D$18+'AA Exact Masses'!$Q$3+'AA Exact Masses'!$Q$3-'Mass Ion Calculations'!$C$27-'Mass Ion Calculations'!$C22)/2-'Mass Ion Calculations'!$D$5,('Mass Ion Calculations'!$F$18+'AA Exact Masses'!$Q$3+'AA Exact Masses'!$Q$3-'Mass Ion Calculations'!$E$27-'Mass Ion Calculations'!$E22)/2-'Mass Ion Calculations'!$D$5),IF('Mass Ion Calculations'!$D$7="Yes", ('Mass Ion Calculations'!$D$15+'AA Exact Masses'!$Q$3+'AA Exact Masses'!$Q$3-'Mass Ion Calculations'!$C$27-'Mass Ion Calculations'!$C22)/2-'Mass Ion Calculations'!$D$5,('Mass Ion Calculations'!$F$15+'AA Exact Masses'!$Q$3+'AA Exact Masses'!$Q$3-'Mass Ion Calculations'!$E$27-'Mass Ion Calculations'!$E22)/2-'Mass Ion Calculations'!$D$5)))</f>
        <v/>
      </c>
      <c r="Z21" s="3" t="str">
        <f>IF(OR($B21="",Z$3=""),"",IF('Mass Ion Calculations'!$D$6="Yes",IF('Mass Ion Calculations'!$D$7="Yes",('Mass Ion Calculations'!$D$18+'AA Exact Masses'!$Q$3+'AA Exact Masses'!$Q$3-'Mass Ion Calculations'!$C$28-'Mass Ion Calculations'!$C22)/2-'Mass Ion Calculations'!$D$5,('Mass Ion Calculations'!$F$18+'AA Exact Masses'!$Q$3+'AA Exact Masses'!$Q$3-'Mass Ion Calculations'!$E$28-'Mass Ion Calculations'!$E22)/2-'Mass Ion Calculations'!$D$5),IF('Mass Ion Calculations'!$D$7="Yes", ('Mass Ion Calculations'!$D$15+'AA Exact Masses'!$Q$3+'AA Exact Masses'!$Q$3-'Mass Ion Calculations'!$C$28-'Mass Ion Calculations'!$C22)/2-'Mass Ion Calculations'!$D$5,('Mass Ion Calculations'!$F$15+'AA Exact Masses'!$Q$3+'AA Exact Masses'!$Q$3-'Mass Ion Calculations'!$E$28-'Mass Ion Calculations'!$E22)/2-'Mass Ion Calculations'!$D$5)))</f>
        <v/>
      </c>
    </row>
    <row r="22" spans="2:26" x14ac:dyDescent="0.25">
      <c r="B22" s="4" t="str">
        <f>IF('Mass Ion Calculations'!B23="","", 'Mass Ion Calculations'!B23)</f>
        <v>HCTU</v>
      </c>
      <c r="C22" s="3" t="e">
        <f>IF(OR($B22="",C$3=""),"",IF('Mass Ion Calculations'!$D$6="Yes",IF('Mass Ion Calculations'!$D$7="Yes",('Mass Ion Calculations'!$D$18+'AA Exact Masses'!$Q$3+'AA Exact Masses'!$Q$3-'Mass Ion Calculations'!$C$5-'Mass Ion Calculations'!$C23)/2-'Mass Ion Calculations'!$D$5,('Mass Ion Calculations'!$F$18+'AA Exact Masses'!$Q$3+'AA Exact Masses'!$Q$3-'Mass Ion Calculations'!$E$5-'Mass Ion Calculations'!$E23)/2-'Mass Ion Calculations'!$D$5),IF('Mass Ion Calculations'!$D$7="Yes", ('Mass Ion Calculations'!$D$15+'AA Exact Masses'!$Q$3+'AA Exact Masses'!$Q$3-'Mass Ion Calculations'!$C$5-'Mass Ion Calculations'!$C23)/2-'Mass Ion Calculations'!$D$5,('Mass Ion Calculations'!$F$15+'AA Exact Masses'!$Q$3+'AA Exact Masses'!$Q$3-'Mass Ion Calculations'!$E$5-'Mass Ion Calculations'!$E23)/2-'Mass Ion Calculations'!$D$5)))</f>
        <v>#VALUE!</v>
      </c>
      <c r="D22" s="3" t="e">
        <f>IF(OR($B22="",D$3=""),"",IF('Mass Ion Calculations'!$D$6="Yes",IF('Mass Ion Calculations'!$D$7="Yes",('Mass Ion Calculations'!$D$18+'AA Exact Masses'!$Q$3+'AA Exact Masses'!$Q$3-'Mass Ion Calculations'!$C$6-'Mass Ion Calculations'!$C23)/2-'Mass Ion Calculations'!$D$5,('Mass Ion Calculations'!$F$18+'AA Exact Masses'!$Q$3+'AA Exact Masses'!$Q$3-'Mass Ion Calculations'!$E$6-'Mass Ion Calculations'!$E23)/2-'Mass Ion Calculations'!$D$5),IF('Mass Ion Calculations'!$D$7="Yes", ('Mass Ion Calculations'!$D$15+'AA Exact Masses'!$Q$3+'AA Exact Masses'!$Q$3-'Mass Ion Calculations'!$C$6-'Mass Ion Calculations'!$C23)/2-'Mass Ion Calculations'!$D$5,('Mass Ion Calculations'!$F$15+'AA Exact Masses'!$Q$3+'AA Exact Masses'!$Q$3-'Mass Ion Calculations'!$E$6-'Mass Ion Calculations'!$E23)/2-'Mass Ion Calculations'!$D$5)))</f>
        <v>#VALUE!</v>
      </c>
      <c r="E22" s="3" t="e">
        <f>IF(OR($B22="",E$3=""),"",IF('Mass Ion Calculations'!$D$6="Yes",IF('Mass Ion Calculations'!$D$7="Yes",('Mass Ion Calculations'!$D$18+'AA Exact Masses'!$Q$3+'AA Exact Masses'!$Q$3-'Mass Ion Calculations'!$C$7-'Mass Ion Calculations'!$C23)/2-'Mass Ion Calculations'!$D$5,('Mass Ion Calculations'!$F$18+'AA Exact Masses'!$Q$3+'AA Exact Masses'!$Q$3-'Mass Ion Calculations'!$E$7-'Mass Ion Calculations'!$E23)/2-'Mass Ion Calculations'!$D$5),IF('Mass Ion Calculations'!$D$7="Yes", ('Mass Ion Calculations'!$D$15+'AA Exact Masses'!$Q$3+'AA Exact Masses'!$Q$3-'Mass Ion Calculations'!$C$7-'Mass Ion Calculations'!$C23)/2-'Mass Ion Calculations'!$D$5,('Mass Ion Calculations'!$F$15+'AA Exact Masses'!$Q$3+'AA Exact Masses'!$Q$3-'Mass Ion Calculations'!$E$7-'Mass Ion Calculations'!$E23)/2-'Mass Ion Calculations'!$D$5)))</f>
        <v>#VALUE!</v>
      </c>
      <c r="F22" s="3" t="e">
        <f>IF(OR($B22="",F$3=""),"",IF('Mass Ion Calculations'!$D$6="Yes",IF('Mass Ion Calculations'!$D$7="Yes",('Mass Ion Calculations'!$D$18+'AA Exact Masses'!$Q$3+'AA Exact Masses'!$Q$3-'Mass Ion Calculations'!$C$8-'Mass Ion Calculations'!$C23)/2-'Mass Ion Calculations'!$D$5,('Mass Ion Calculations'!$F$18+'AA Exact Masses'!$Q$3+'AA Exact Masses'!$Q$3-'Mass Ion Calculations'!$E$8-'Mass Ion Calculations'!$E23)/2-'Mass Ion Calculations'!$D$5),IF('Mass Ion Calculations'!$D$7="Yes", ('Mass Ion Calculations'!$D$15+'AA Exact Masses'!$Q$3+'AA Exact Masses'!$Q$3-'Mass Ion Calculations'!$C$8-'Mass Ion Calculations'!$C23)/2-'Mass Ion Calculations'!$D$5,('Mass Ion Calculations'!$F$15+'AA Exact Masses'!$Q$3+'AA Exact Masses'!$Q$3-'Mass Ion Calculations'!$E$8-'Mass Ion Calculations'!$E23)/2-'Mass Ion Calculations'!$D$5)))</f>
        <v>#VALUE!</v>
      </c>
      <c r="G22" s="3" t="e">
        <f>IF(OR($B22="",G$3=""),"",IF('Mass Ion Calculations'!$D$6="Yes",IF('Mass Ion Calculations'!$D$7="Yes",('Mass Ion Calculations'!$D$18+'AA Exact Masses'!$Q$3+'AA Exact Masses'!$Q$3-'Mass Ion Calculations'!$C$9-'Mass Ion Calculations'!$C23)/2-'Mass Ion Calculations'!$D$5,('Mass Ion Calculations'!$F$18+'AA Exact Masses'!$Q$3+'AA Exact Masses'!$Q$3-'Mass Ion Calculations'!$E$9-'Mass Ion Calculations'!$E23)/2-'Mass Ion Calculations'!$D$5),IF('Mass Ion Calculations'!$D$7="Yes", ('Mass Ion Calculations'!$D$15+'AA Exact Masses'!$Q$3+'AA Exact Masses'!$Q$3-'Mass Ion Calculations'!$C$9-'Mass Ion Calculations'!$C23)/2-'Mass Ion Calculations'!$D$5,('Mass Ion Calculations'!$F$15+'AA Exact Masses'!$Q$3+'AA Exact Masses'!$Q$3-'Mass Ion Calculations'!$E$9-'Mass Ion Calculations'!$E23)/2-'Mass Ion Calculations'!$D$5)))</f>
        <v>#VALUE!</v>
      </c>
      <c r="H22" s="3" t="e">
        <f>IF(OR($B22="",H$3=""),"",IF('Mass Ion Calculations'!$D$6="Yes",IF('Mass Ion Calculations'!$D$7="Yes",('Mass Ion Calculations'!$D$18+'AA Exact Masses'!$Q$3+'AA Exact Masses'!$Q$3-'Mass Ion Calculations'!$C$10-'Mass Ion Calculations'!$C23)/2-'Mass Ion Calculations'!$D$5,('Mass Ion Calculations'!$F$18+'AA Exact Masses'!$Q$3+'AA Exact Masses'!$Q$3-'Mass Ion Calculations'!$E$10-'Mass Ion Calculations'!$E23)/2-'Mass Ion Calculations'!$D$5),IF('Mass Ion Calculations'!$D$7="Yes", ('Mass Ion Calculations'!$D$15+'AA Exact Masses'!$Q$3+'AA Exact Masses'!$Q$3-'Mass Ion Calculations'!$C$10-'Mass Ion Calculations'!$C23)/2-'Mass Ion Calculations'!$D$5,('Mass Ion Calculations'!$F$15+'AA Exact Masses'!$Q$3+'AA Exact Masses'!$Q$3-'Mass Ion Calculations'!$E$10-'Mass Ion Calculations'!$E23)/2-'Mass Ion Calculations'!$D$5)))</f>
        <v>#VALUE!</v>
      </c>
      <c r="I22" s="3" t="e">
        <f>IF(OR($B22="",I$3=""),"",IF('Mass Ion Calculations'!$D$6="Yes",IF('Mass Ion Calculations'!$D$7="Yes",('Mass Ion Calculations'!$D$18+'AA Exact Masses'!$Q$3+'AA Exact Masses'!$Q$3-'Mass Ion Calculations'!$C$11-'Mass Ion Calculations'!$C23)/2-'Mass Ion Calculations'!$D$5,('Mass Ion Calculations'!$F$18+'AA Exact Masses'!$Q$3+'AA Exact Masses'!$Q$3-'Mass Ion Calculations'!$E$11-'Mass Ion Calculations'!$E23)/2-'Mass Ion Calculations'!$D$5),IF('Mass Ion Calculations'!$D$7="Yes", ('Mass Ion Calculations'!$D$15+'AA Exact Masses'!$Q$3+'AA Exact Masses'!$Q$3-'Mass Ion Calculations'!$C$11-'Mass Ion Calculations'!$C23)/2-'Mass Ion Calculations'!$D$5,('Mass Ion Calculations'!$F$15+'AA Exact Masses'!$Q$3+'AA Exact Masses'!$Q$3-'Mass Ion Calculations'!$E$11-'Mass Ion Calculations'!$E23)/2-'Mass Ion Calculations'!$D$5)))</f>
        <v>#VALUE!</v>
      </c>
      <c r="J22" s="3" t="e">
        <f>IF(OR($B22="",J$3=""),"",IF('Mass Ion Calculations'!$D$6="Yes",IF('Mass Ion Calculations'!$D$7="Yes",('Mass Ion Calculations'!$D$18+'AA Exact Masses'!$Q$3+'AA Exact Masses'!$Q$3-'Mass Ion Calculations'!$C$12-'Mass Ion Calculations'!$C23)/2-'Mass Ion Calculations'!$D$5,('Mass Ion Calculations'!$F$18+'AA Exact Masses'!$Q$3+'AA Exact Masses'!$Q$3-'Mass Ion Calculations'!$E$12-'Mass Ion Calculations'!$E23)/2-'Mass Ion Calculations'!$D$5),IF('Mass Ion Calculations'!$D$7="Yes", ('Mass Ion Calculations'!$D$15+'AA Exact Masses'!$Q$3+'AA Exact Masses'!$Q$3-'Mass Ion Calculations'!$C$12-'Mass Ion Calculations'!$C23)/2-'Mass Ion Calculations'!$D$5,('Mass Ion Calculations'!$F$15+'AA Exact Masses'!$Q$3+'AA Exact Masses'!$Q$3-'Mass Ion Calculations'!$E$12-'Mass Ion Calculations'!$E23)/2-'Mass Ion Calculations'!$D$5)))</f>
        <v>#VALUE!</v>
      </c>
      <c r="K22" s="3" t="e">
        <f>IF(OR($B22="",K$3=""),"",IF('Mass Ion Calculations'!$D$6="Yes",IF('Mass Ion Calculations'!$D$7="Yes",('Mass Ion Calculations'!$D$18+'AA Exact Masses'!$Q$3+'AA Exact Masses'!$Q$3-'Mass Ion Calculations'!$C$13-'Mass Ion Calculations'!$C23)/2-'Mass Ion Calculations'!$D$5,('Mass Ion Calculations'!$F$18+'AA Exact Masses'!$Q$3+'AA Exact Masses'!$Q$3-'Mass Ion Calculations'!$E$13-'Mass Ion Calculations'!$E23)/2-'Mass Ion Calculations'!$D$5),IF('Mass Ion Calculations'!$D$7="Yes", ('Mass Ion Calculations'!$D$15+'AA Exact Masses'!$Q$3+'AA Exact Masses'!$Q$3-'Mass Ion Calculations'!$C$13-'Mass Ion Calculations'!$C23)/2-'Mass Ion Calculations'!$D$5,('Mass Ion Calculations'!$F$15+'AA Exact Masses'!$Q$3+'AA Exact Masses'!$Q$3-'Mass Ion Calculations'!$E$13-'Mass Ion Calculations'!$E23)/2-'Mass Ion Calculations'!$D$5)))</f>
        <v>#VALUE!</v>
      </c>
      <c r="L22" s="3" t="e">
        <f>IF(OR($B22="",L$3=""),"",IF('Mass Ion Calculations'!$D$6="Yes",IF('Mass Ion Calculations'!$D$7="Yes",('Mass Ion Calculations'!$D$18+'AA Exact Masses'!$Q$3+'AA Exact Masses'!$Q$3-'Mass Ion Calculations'!$C$14-'Mass Ion Calculations'!$C23)/2-'Mass Ion Calculations'!$D$5,('Mass Ion Calculations'!$F$18+'AA Exact Masses'!$Q$3+'AA Exact Masses'!$Q$3-'Mass Ion Calculations'!$E$14-'Mass Ion Calculations'!$E23)/2-'Mass Ion Calculations'!$D$5),IF('Mass Ion Calculations'!$D$7="Yes", ('Mass Ion Calculations'!$D$15+'AA Exact Masses'!$Q$3+'AA Exact Masses'!$Q$3-'Mass Ion Calculations'!$C$14-'Mass Ion Calculations'!$C23)/2-'Mass Ion Calculations'!$D$5,('Mass Ion Calculations'!$F$15+'AA Exact Masses'!$Q$3+'AA Exact Masses'!$Q$3-'Mass Ion Calculations'!$E$14-'Mass Ion Calculations'!$E23)/2-'Mass Ion Calculations'!$D$5)))</f>
        <v>#VALUE!</v>
      </c>
      <c r="M22" s="3" t="e">
        <f>IF(OR($B22="",M$3=""),"",IF('Mass Ion Calculations'!$D$6="Yes",IF('Mass Ion Calculations'!$D$7="Yes",('Mass Ion Calculations'!$D$18+'AA Exact Masses'!$Q$3+'AA Exact Masses'!$Q$3-'Mass Ion Calculations'!$C$15-'Mass Ion Calculations'!$C23)/2-'Mass Ion Calculations'!$D$5,('Mass Ion Calculations'!$F$18+'AA Exact Masses'!$Q$3+'AA Exact Masses'!$Q$3-'Mass Ion Calculations'!$E$15-'Mass Ion Calculations'!$E23)/2-'Mass Ion Calculations'!$D$5),IF('Mass Ion Calculations'!$D$7="Yes", ('Mass Ion Calculations'!$D$15+'AA Exact Masses'!$Q$3+'AA Exact Masses'!$Q$3-'Mass Ion Calculations'!$C$15-'Mass Ion Calculations'!$C23)/2-'Mass Ion Calculations'!$D$5,('Mass Ion Calculations'!$F$15+'AA Exact Masses'!$Q$3+'AA Exact Masses'!$Q$3-'Mass Ion Calculations'!$E$15-'Mass Ion Calculations'!$E23)/2-'Mass Ion Calculations'!$D$5)))</f>
        <v>#VALUE!</v>
      </c>
      <c r="N22" s="3" t="e">
        <f>IF(OR($B22="",N$3=""),"",IF('Mass Ion Calculations'!$D$6="Yes",IF('Mass Ion Calculations'!$D$7="Yes",('Mass Ion Calculations'!$D$18+'AA Exact Masses'!$Q$3+'AA Exact Masses'!$Q$3-'Mass Ion Calculations'!$C$16-'Mass Ion Calculations'!$C23)/2-'Mass Ion Calculations'!$D$5,('Mass Ion Calculations'!$F$18+'AA Exact Masses'!$Q$3+'AA Exact Masses'!$Q$3-'Mass Ion Calculations'!$E$16-'Mass Ion Calculations'!$E23)/2-'Mass Ion Calculations'!$D$5),IF('Mass Ion Calculations'!$D$7="Yes", ('Mass Ion Calculations'!$D$15+'AA Exact Masses'!$Q$3+'AA Exact Masses'!$Q$3-'Mass Ion Calculations'!$C$16-'Mass Ion Calculations'!$C23)/2-'Mass Ion Calculations'!$D$5,('Mass Ion Calculations'!$F$15+'AA Exact Masses'!$Q$3+'AA Exact Masses'!$Q$3-'Mass Ion Calculations'!$E$16-'Mass Ion Calculations'!$E23)/2-'Mass Ion Calculations'!$D$5)))</f>
        <v>#VALUE!</v>
      </c>
      <c r="O22" s="3" t="e">
        <f>IF(OR($B22="",O$3=""),"",IF('Mass Ion Calculations'!$D$6="Yes",IF('Mass Ion Calculations'!$D$7="Yes",('Mass Ion Calculations'!$D$18+'AA Exact Masses'!$Q$3+'AA Exact Masses'!$Q$3-'Mass Ion Calculations'!$C$17-'Mass Ion Calculations'!$C23)/2-'Mass Ion Calculations'!$D$5,('Mass Ion Calculations'!$F$18+'AA Exact Masses'!$Q$3+'AA Exact Masses'!$Q$3-'Mass Ion Calculations'!$E$17-'Mass Ion Calculations'!$E23)/2-'Mass Ion Calculations'!$D$5),IF('Mass Ion Calculations'!$D$7="Yes", ('Mass Ion Calculations'!$D$15+'AA Exact Masses'!$Q$3+'AA Exact Masses'!$Q$3-'Mass Ion Calculations'!$C$17-'Mass Ion Calculations'!$C23)/2-'Mass Ion Calculations'!$D$5,('Mass Ion Calculations'!$F$15+'AA Exact Masses'!$Q$3+'AA Exact Masses'!$Q$3-'Mass Ion Calculations'!$E$17-'Mass Ion Calculations'!$E23)/2-'Mass Ion Calculations'!$D$5)))</f>
        <v>#VALUE!</v>
      </c>
      <c r="P22" s="3" t="e">
        <f>IF(OR($B22="",P$3=""),"",IF('Mass Ion Calculations'!$D$6="Yes",IF('Mass Ion Calculations'!$D$7="Yes",('Mass Ion Calculations'!$D$18+'AA Exact Masses'!$Q$3+'AA Exact Masses'!$Q$3-'Mass Ion Calculations'!$C$18-'Mass Ion Calculations'!$C23)/2-'Mass Ion Calculations'!$D$5,('Mass Ion Calculations'!$F$18+'AA Exact Masses'!$Q$3+'AA Exact Masses'!$Q$3-'Mass Ion Calculations'!$E$18-'Mass Ion Calculations'!$E23)/2-'Mass Ion Calculations'!$D$5),IF('Mass Ion Calculations'!$D$7="Yes", ('Mass Ion Calculations'!$D$15+'AA Exact Masses'!$Q$3+'AA Exact Masses'!$Q$3-'Mass Ion Calculations'!$C$18-'Mass Ion Calculations'!$C23)/2-'Mass Ion Calculations'!$D$5,('Mass Ion Calculations'!$F$15+'AA Exact Masses'!$Q$3+'AA Exact Masses'!$Q$3-'Mass Ion Calculations'!$E$18-'Mass Ion Calculations'!$E23)/2-'Mass Ion Calculations'!$D$5)))</f>
        <v>#VALUE!</v>
      </c>
      <c r="Q22" s="3" t="e">
        <f>IF(OR($B22="",Q$3=""),"",IF('Mass Ion Calculations'!$D$6="Yes",IF('Mass Ion Calculations'!$D$7="Yes",('Mass Ion Calculations'!$D$18+'AA Exact Masses'!$Q$3+'AA Exact Masses'!$Q$3-'Mass Ion Calculations'!$C$19-'Mass Ion Calculations'!$C23)/2-'Mass Ion Calculations'!$D$5,('Mass Ion Calculations'!$F$18+'AA Exact Masses'!$Q$3+'AA Exact Masses'!$Q$3-'Mass Ion Calculations'!$E$19-'Mass Ion Calculations'!$E23)/2-'Mass Ion Calculations'!$D$5),IF('Mass Ion Calculations'!$D$7="Yes", ('Mass Ion Calculations'!$D$15+'AA Exact Masses'!$Q$3+'AA Exact Masses'!$Q$3-'Mass Ion Calculations'!$C$19-'Mass Ion Calculations'!$C23)/2-'Mass Ion Calculations'!$D$5,('Mass Ion Calculations'!$F$15+'AA Exact Masses'!$Q$3+'AA Exact Masses'!$Q$3-'Mass Ion Calculations'!$E$19-'Mass Ion Calculations'!$E23)/2-'Mass Ion Calculations'!$D$5)))</f>
        <v>#VALUE!</v>
      </c>
      <c r="R22" s="3" t="e">
        <f>IF(OR($B22="",R$3=""),"",IF('Mass Ion Calculations'!$D$6="Yes",IF('Mass Ion Calculations'!$D$7="Yes",('Mass Ion Calculations'!$D$18+'AA Exact Masses'!$Q$3+'AA Exact Masses'!$Q$3-'Mass Ion Calculations'!$C$20-'Mass Ion Calculations'!$C23)/2-'Mass Ion Calculations'!$D$5,('Mass Ion Calculations'!$F$18+'AA Exact Masses'!$Q$3+'AA Exact Masses'!$Q$3-'Mass Ion Calculations'!$E$20-'Mass Ion Calculations'!$E23)/2-'Mass Ion Calculations'!$D$5),IF('Mass Ion Calculations'!$D$7="Yes", ('Mass Ion Calculations'!$D$15+'AA Exact Masses'!$Q$3+'AA Exact Masses'!$Q$3-'Mass Ion Calculations'!$C$20-'Mass Ion Calculations'!$C23)/2-'Mass Ion Calculations'!$D$5,('Mass Ion Calculations'!$F$15+'AA Exact Masses'!$Q$3+'AA Exact Masses'!$Q$3-'Mass Ion Calculations'!$E$20-'Mass Ion Calculations'!$E23)/2-'Mass Ion Calculations'!$D$5)))</f>
        <v>#VALUE!</v>
      </c>
      <c r="S22" s="3" t="str">
        <f>IF(OR($B22="",S$3=""),"",IF('Mass Ion Calculations'!$D$6="Yes",IF('Mass Ion Calculations'!$D$7="Yes",('Mass Ion Calculations'!$D$18+'AA Exact Masses'!$Q$3+'AA Exact Masses'!$Q$3-'Mass Ion Calculations'!$C$21-'Mass Ion Calculations'!$C23)/2-'Mass Ion Calculations'!$D$5,('Mass Ion Calculations'!$F$18+'AA Exact Masses'!$Q$3+'AA Exact Masses'!$Q$3-'Mass Ion Calculations'!$E$21-'Mass Ion Calculations'!$E23)/2-'Mass Ion Calculations'!$D$5),IF('Mass Ion Calculations'!$D$7="Yes", ('Mass Ion Calculations'!$D$15+'AA Exact Masses'!$Q$3+'AA Exact Masses'!$Q$3-'Mass Ion Calculations'!$C$21-'Mass Ion Calculations'!$C23)/2-'Mass Ion Calculations'!$D$5,('Mass Ion Calculations'!$F$15+'AA Exact Masses'!$Q$3+'AA Exact Masses'!$Q$3-'Mass Ion Calculations'!$E$21-'Mass Ion Calculations'!$E23)/2-'Mass Ion Calculations'!$D$5)))</f>
        <v/>
      </c>
      <c r="T22" s="3" t="e">
        <f>IF(OR($B22="",T$3=""),"",IF('Mass Ion Calculations'!$D$6="Yes",IF('Mass Ion Calculations'!$D$7="Yes",('Mass Ion Calculations'!$D$18+'AA Exact Masses'!$Q$3+'AA Exact Masses'!$Q$3-'Mass Ion Calculations'!$C$22-'Mass Ion Calculations'!$C23)/2-'Mass Ion Calculations'!$D$5,('Mass Ion Calculations'!$F$18+'AA Exact Masses'!$Q$3+'AA Exact Masses'!$Q$3-'Mass Ion Calculations'!$E$22-'Mass Ion Calculations'!$E23)/2-'Mass Ion Calculations'!$D$5),IF('Mass Ion Calculations'!$D$7="Yes", ('Mass Ion Calculations'!$D$15+'AA Exact Masses'!$Q$3+'AA Exact Masses'!$Q$3-'Mass Ion Calculations'!$C$22-'Mass Ion Calculations'!$C23)/2-'Mass Ion Calculations'!$D$5,('Mass Ion Calculations'!$F$15+'AA Exact Masses'!$Q$3+'AA Exact Masses'!$Q$3-'Mass Ion Calculations'!$E$22-'Mass Ion Calculations'!$E23)/2-'Mass Ion Calculations'!$D$5)))</f>
        <v>#VALUE!</v>
      </c>
      <c r="U22" s="3" t="e">
        <f>IF(OR($B22="",U$3=""),"",IF('Mass Ion Calculations'!$D$6="Yes",IF('Mass Ion Calculations'!$D$7="Yes",('Mass Ion Calculations'!$D$18+'AA Exact Masses'!$Q$3+'AA Exact Masses'!$Q$3-'Mass Ion Calculations'!$C$23-'Mass Ion Calculations'!$C23)/2-'Mass Ion Calculations'!$D$5,('Mass Ion Calculations'!$F$18+'AA Exact Masses'!$Q$3+'AA Exact Masses'!$Q$3-'Mass Ion Calculations'!$E$23-'Mass Ion Calculations'!$E23)/2-'Mass Ion Calculations'!$D$5),IF('Mass Ion Calculations'!$D$7="Yes", ('Mass Ion Calculations'!$D$15+'AA Exact Masses'!$Q$3+'AA Exact Masses'!$Q$3-'Mass Ion Calculations'!$C$23-'Mass Ion Calculations'!$C23)/2-'Mass Ion Calculations'!$D$5,('Mass Ion Calculations'!$F$15+'AA Exact Masses'!$Q$3+'AA Exact Masses'!$Q$3-'Mass Ion Calculations'!$E$23-'Mass Ion Calculations'!$E23)/2-'Mass Ion Calculations'!$D$5)))</f>
        <v>#VALUE!</v>
      </c>
      <c r="V22" s="3" t="str">
        <f>IF(OR($B22="",V$3=""),"",IF('Mass Ion Calculations'!$D$6="Yes",IF('Mass Ion Calculations'!$D$7="Yes",('Mass Ion Calculations'!$D$18+'AA Exact Masses'!$Q$3+'AA Exact Masses'!$Q$3-'Mass Ion Calculations'!$C$24-'Mass Ion Calculations'!$C23)/2-'Mass Ion Calculations'!$D$5,('Mass Ion Calculations'!$F$18+'AA Exact Masses'!$Q$3+'AA Exact Masses'!$Q$3-'Mass Ion Calculations'!$E$24-'Mass Ion Calculations'!$E23)/2-'Mass Ion Calculations'!$D$5),IF('Mass Ion Calculations'!$D$7="Yes", ('Mass Ion Calculations'!$D$15+'AA Exact Masses'!$Q$3+'AA Exact Masses'!$Q$3-'Mass Ion Calculations'!$C$24-'Mass Ion Calculations'!$C23)/2-'Mass Ion Calculations'!$D$5,('Mass Ion Calculations'!$F$15+'AA Exact Masses'!$Q$3+'AA Exact Masses'!$Q$3-'Mass Ion Calculations'!$E$24-'Mass Ion Calculations'!$E23)/2-'Mass Ion Calculations'!$D$5)))</f>
        <v/>
      </c>
      <c r="W22" s="3" t="str">
        <f>IF(OR($B22="",W$3=""),"",IF('Mass Ion Calculations'!$D$6="Yes",IF('Mass Ion Calculations'!$D$7="Yes",('Mass Ion Calculations'!$D$18+'AA Exact Masses'!$Q$3+'AA Exact Masses'!$Q$3-'Mass Ion Calculations'!$C$25-'Mass Ion Calculations'!$C23)/2-'Mass Ion Calculations'!$D$5,('Mass Ion Calculations'!$F$18+'AA Exact Masses'!$Q$3+'AA Exact Masses'!$Q$3-'Mass Ion Calculations'!$E$25-'Mass Ion Calculations'!$E23)/2-'Mass Ion Calculations'!$D$5),IF('Mass Ion Calculations'!$D$7="Yes", ('Mass Ion Calculations'!$D$15+'AA Exact Masses'!$Q$3+'AA Exact Masses'!$Q$3-'Mass Ion Calculations'!$C$25-'Mass Ion Calculations'!$C23)/2-'Mass Ion Calculations'!$D$5,('Mass Ion Calculations'!$F$15+'AA Exact Masses'!$Q$3+'AA Exact Masses'!$Q$3-'Mass Ion Calculations'!$E$25-'Mass Ion Calculations'!$E23)/2-'Mass Ion Calculations'!$D$5)))</f>
        <v/>
      </c>
      <c r="X22" s="3" t="str">
        <f>IF(OR($B22="",X$3=""),"",IF('Mass Ion Calculations'!$D$6="Yes",IF('Mass Ion Calculations'!$D$7="Yes",('Mass Ion Calculations'!$D$18+'AA Exact Masses'!$Q$3+'AA Exact Masses'!$Q$3-'Mass Ion Calculations'!$C$26-'Mass Ion Calculations'!$C23)/2-'Mass Ion Calculations'!$D$5,('Mass Ion Calculations'!$F$18+'AA Exact Masses'!$Q$3+'AA Exact Masses'!$Q$3-'Mass Ion Calculations'!$E$26-'Mass Ion Calculations'!$E23)/2-'Mass Ion Calculations'!$D$5),IF('Mass Ion Calculations'!$D$7="Yes", ('Mass Ion Calculations'!$D$15+'AA Exact Masses'!$Q$3+'AA Exact Masses'!$Q$3-'Mass Ion Calculations'!$C$26-'Mass Ion Calculations'!$C23)/2-'Mass Ion Calculations'!$D$5,('Mass Ion Calculations'!$F$15+'AA Exact Masses'!$Q$3+'AA Exact Masses'!$Q$3-'Mass Ion Calculations'!$E$26-'Mass Ion Calculations'!$E23)/2-'Mass Ion Calculations'!$D$5)))</f>
        <v/>
      </c>
      <c r="Y22" s="3" t="str">
        <f>IF(OR($B22="",Y$3=""),"",IF('Mass Ion Calculations'!$D$6="Yes",IF('Mass Ion Calculations'!$D$7="Yes",('Mass Ion Calculations'!$D$18+'AA Exact Masses'!$Q$3+'AA Exact Masses'!$Q$3-'Mass Ion Calculations'!$C$27-'Mass Ion Calculations'!$C23)/2-'Mass Ion Calculations'!$D$5,('Mass Ion Calculations'!$F$18+'AA Exact Masses'!$Q$3+'AA Exact Masses'!$Q$3-'Mass Ion Calculations'!$E$27-'Mass Ion Calculations'!$E23)/2-'Mass Ion Calculations'!$D$5),IF('Mass Ion Calculations'!$D$7="Yes", ('Mass Ion Calculations'!$D$15+'AA Exact Masses'!$Q$3+'AA Exact Masses'!$Q$3-'Mass Ion Calculations'!$C$27-'Mass Ion Calculations'!$C23)/2-'Mass Ion Calculations'!$D$5,('Mass Ion Calculations'!$F$15+'AA Exact Masses'!$Q$3+'AA Exact Masses'!$Q$3-'Mass Ion Calculations'!$E$27-'Mass Ion Calculations'!$E23)/2-'Mass Ion Calculations'!$D$5)))</f>
        <v/>
      </c>
      <c r="Z22" s="3" t="str">
        <f>IF(OR($B22="",Z$3=""),"",IF('Mass Ion Calculations'!$D$6="Yes",IF('Mass Ion Calculations'!$D$7="Yes",('Mass Ion Calculations'!$D$18+'AA Exact Masses'!$Q$3+'AA Exact Masses'!$Q$3-'Mass Ion Calculations'!$C$28-'Mass Ion Calculations'!$C23)/2-'Mass Ion Calculations'!$D$5,('Mass Ion Calculations'!$F$18+'AA Exact Masses'!$Q$3+'AA Exact Masses'!$Q$3-'Mass Ion Calculations'!$E$28-'Mass Ion Calculations'!$E23)/2-'Mass Ion Calculations'!$D$5),IF('Mass Ion Calculations'!$D$7="Yes", ('Mass Ion Calculations'!$D$15+'AA Exact Masses'!$Q$3+'AA Exact Masses'!$Q$3-'Mass Ion Calculations'!$C$28-'Mass Ion Calculations'!$C23)/2-'Mass Ion Calculations'!$D$5,('Mass Ion Calculations'!$F$15+'AA Exact Masses'!$Q$3+'AA Exact Masses'!$Q$3-'Mass Ion Calculations'!$E$28-'Mass Ion Calculations'!$E23)/2-'Mass Ion Calculations'!$D$5)))</f>
        <v/>
      </c>
    </row>
    <row r="23" spans="2:26" x14ac:dyDescent="0.25">
      <c r="B23" s="4" t="str">
        <f>IF('Mass Ion Calculations'!B24="","", 'Mass Ion Calculations'!B24)</f>
        <v/>
      </c>
      <c r="C23" s="3" t="str">
        <f>IF(OR($B23="",C$3=""),"",IF('Mass Ion Calculations'!$D$6="Yes",IF('Mass Ion Calculations'!$D$7="Yes",('Mass Ion Calculations'!$D$18+'AA Exact Masses'!$Q$3+'AA Exact Masses'!$Q$3-'Mass Ion Calculations'!$C$5-'Mass Ion Calculations'!$C24)/2-'Mass Ion Calculations'!$D$5,('Mass Ion Calculations'!$F$18+'AA Exact Masses'!$Q$3+'AA Exact Masses'!$Q$3-'Mass Ion Calculations'!$E$5-'Mass Ion Calculations'!$E24)/2-'Mass Ion Calculations'!$D$5),IF('Mass Ion Calculations'!$D$7="Yes", ('Mass Ion Calculations'!$D$15+'AA Exact Masses'!$Q$3+'AA Exact Masses'!$Q$3-'Mass Ion Calculations'!$C$5-'Mass Ion Calculations'!$C24)/2-'Mass Ion Calculations'!$D$5,('Mass Ion Calculations'!$F$15+'AA Exact Masses'!$Q$3+'AA Exact Masses'!$Q$3-'Mass Ion Calculations'!$E$5-'Mass Ion Calculations'!$E24)/2-'Mass Ion Calculations'!$D$5)))</f>
        <v/>
      </c>
      <c r="D23" s="3" t="str">
        <f>IF(OR($B23="",D$3=""),"",IF('Mass Ion Calculations'!$D$6="Yes",IF('Mass Ion Calculations'!$D$7="Yes",('Mass Ion Calculations'!$D$18+'AA Exact Masses'!$Q$3+'AA Exact Masses'!$Q$3-'Mass Ion Calculations'!$C$6-'Mass Ion Calculations'!$C24)/2-'Mass Ion Calculations'!$D$5,('Mass Ion Calculations'!$F$18+'AA Exact Masses'!$Q$3+'AA Exact Masses'!$Q$3-'Mass Ion Calculations'!$E$6-'Mass Ion Calculations'!$E24)/2-'Mass Ion Calculations'!$D$5),IF('Mass Ion Calculations'!$D$7="Yes", ('Mass Ion Calculations'!$D$15+'AA Exact Masses'!$Q$3+'AA Exact Masses'!$Q$3-'Mass Ion Calculations'!$C$6-'Mass Ion Calculations'!$C24)/2-'Mass Ion Calculations'!$D$5,('Mass Ion Calculations'!$F$15+'AA Exact Masses'!$Q$3+'AA Exact Masses'!$Q$3-'Mass Ion Calculations'!$E$6-'Mass Ion Calculations'!$E24)/2-'Mass Ion Calculations'!$D$5)))</f>
        <v/>
      </c>
      <c r="E23" s="3" t="str">
        <f>IF(OR($B23="",E$3=""),"",IF('Mass Ion Calculations'!$D$6="Yes",IF('Mass Ion Calculations'!$D$7="Yes",('Mass Ion Calculations'!$D$18+'AA Exact Masses'!$Q$3+'AA Exact Masses'!$Q$3-'Mass Ion Calculations'!$C$7-'Mass Ion Calculations'!$C24)/2-'Mass Ion Calculations'!$D$5,('Mass Ion Calculations'!$F$18+'AA Exact Masses'!$Q$3+'AA Exact Masses'!$Q$3-'Mass Ion Calculations'!$E$7-'Mass Ion Calculations'!$E24)/2-'Mass Ion Calculations'!$D$5),IF('Mass Ion Calculations'!$D$7="Yes", ('Mass Ion Calculations'!$D$15+'AA Exact Masses'!$Q$3+'AA Exact Masses'!$Q$3-'Mass Ion Calculations'!$C$7-'Mass Ion Calculations'!$C24)/2-'Mass Ion Calculations'!$D$5,('Mass Ion Calculations'!$F$15+'AA Exact Masses'!$Q$3+'AA Exact Masses'!$Q$3-'Mass Ion Calculations'!$E$7-'Mass Ion Calculations'!$E24)/2-'Mass Ion Calculations'!$D$5)))</f>
        <v/>
      </c>
      <c r="F23" s="3" t="str">
        <f>IF(OR($B23="",F$3=""),"",IF('Mass Ion Calculations'!$D$6="Yes",IF('Mass Ion Calculations'!$D$7="Yes",('Mass Ion Calculations'!$D$18+'AA Exact Masses'!$Q$3+'AA Exact Masses'!$Q$3-'Mass Ion Calculations'!$C$8-'Mass Ion Calculations'!$C24)/2-'Mass Ion Calculations'!$D$5,('Mass Ion Calculations'!$F$18+'AA Exact Masses'!$Q$3+'AA Exact Masses'!$Q$3-'Mass Ion Calculations'!$E$8-'Mass Ion Calculations'!$E24)/2-'Mass Ion Calculations'!$D$5),IF('Mass Ion Calculations'!$D$7="Yes", ('Mass Ion Calculations'!$D$15+'AA Exact Masses'!$Q$3+'AA Exact Masses'!$Q$3-'Mass Ion Calculations'!$C$8-'Mass Ion Calculations'!$C24)/2-'Mass Ion Calculations'!$D$5,('Mass Ion Calculations'!$F$15+'AA Exact Masses'!$Q$3+'AA Exact Masses'!$Q$3-'Mass Ion Calculations'!$E$8-'Mass Ion Calculations'!$E24)/2-'Mass Ion Calculations'!$D$5)))</f>
        <v/>
      </c>
      <c r="G23" s="3" t="str">
        <f>IF(OR($B23="",G$3=""),"",IF('Mass Ion Calculations'!$D$6="Yes",IF('Mass Ion Calculations'!$D$7="Yes",('Mass Ion Calculations'!$D$18+'AA Exact Masses'!$Q$3+'AA Exact Masses'!$Q$3-'Mass Ion Calculations'!$C$9-'Mass Ion Calculations'!$C24)/2-'Mass Ion Calculations'!$D$5,('Mass Ion Calculations'!$F$18+'AA Exact Masses'!$Q$3+'AA Exact Masses'!$Q$3-'Mass Ion Calculations'!$E$9-'Mass Ion Calculations'!$E24)/2-'Mass Ion Calculations'!$D$5),IF('Mass Ion Calculations'!$D$7="Yes", ('Mass Ion Calculations'!$D$15+'AA Exact Masses'!$Q$3+'AA Exact Masses'!$Q$3-'Mass Ion Calculations'!$C$9-'Mass Ion Calculations'!$C24)/2-'Mass Ion Calculations'!$D$5,('Mass Ion Calculations'!$F$15+'AA Exact Masses'!$Q$3+'AA Exact Masses'!$Q$3-'Mass Ion Calculations'!$E$9-'Mass Ion Calculations'!$E24)/2-'Mass Ion Calculations'!$D$5)))</f>
        <v/>
      </c>
      <c r="H23" s="3" t="str">
        <f>IF(OR($B23="",H$3=""),"",IF('Mass Ion Calculations'!$D$6="Yes",IF('Mass Ion Calculations'!$D$7="Yes",('Mass Ion Calculations'!$D$18+'AA Exact Masses'!$Q$3+'AA Exact Masses'!$Q$3-'Mass Ion Calculations'!$C$10-'Mass Ion Calculations'!$C24)/2-'Mass Ion Calculations'!$D$5,('Mass Ion Calculations'!$F$18+'AA Exact Masses'!$Q$3+'AA Exact Masses'!$Q$3-'Mass Ion Calculations'!$E$10-'Mass Ion Calculations'!$E24)/2-'Mass Ion Calculations'!$D$5),IF('Mass Ion Calculations'!$D$7="Yes", ('Mass Ion Calculations'!$D$15+'AA Exact Masses'!$Q$3+'AA Exact Masses'!$Q$3-'Mass Ion Calculations'!$C$10-'Mass Ion Calculations'!$C24)/2-'Mass Ion Calculations'!$D$5,('Mass Ion Calculations'!$F$15+'AA Exact Masses'!$Q$3+'AA Exact Masses'!$Q$3-'Mass Ion Calculations'!$E$10-'Mass Ion Calculations'!$E24)/2-'Mass Ion Calculations'!$D$5)))</f>
        <v/>
      </c>
      <c r="I23" s="3" t="str">
        <f>IF(OR($B23="",I$3=""),"",IF('Mass Ion Calculations'!$D$6="Yes",IF('Mass Ion Calculations'!$D$7="Yes",('Mass Ion Calculations'!$D$18+'AA Exact Masses'!$Q$3+'AA Exact Masses'!$Q$3-'Mass Ion Calculations'!$C$11-'Mass Ion Calculations'!$C24)/2-'Mass Ion Calculations'!$D$5,('Mass Ion Calculations'!$F$18+'AA Exact Masses'!$Q$3+'AA Exact Masses'!$Q$3-'Mass Ion Calculations'!$E$11-'Mass Ion Calculations'!$E24)/2-'Mass Ion Calculations'!$D$5),IF('Mass Ion Calculations'!$D$7="Yes", ('Mass Ion Calculations'!$D$15+'AA Exact Masses'!$Q$3+'AA Exact Masses'!$Q$3-'Mass Ion Calculations'!$C$11-'Mass Ion Calculations'!$C24)/2-'Mass Ion Calculations'!$D$5,('Mass Ion Calculations'!$F$15+'AA Exact Masses'!$Q$3+'AA Exact Masses'!$Q$3-'Mass Ion Calculations'!$E$11-'Mass Ion Calculations'!$E24)/2-'Mass Ion Calculations'!$D$5)))</f>
        <v/>
      </c>
      <c r="J23" s="3" t="str">
        <f>IF(OR($B23="",J$3=""),"",IF('Mass Ion Calculations'!$D$6="Yes",IF('Mass Ion Calculations'!$D$7="Yes",('Mass Ion Calculations'!$D$18+'AA Exact Masses'!$Q$3+'AA Exact Masses'!$Q$3-'Mass Ion Calculations'!$C$12-'Mass Ion Calculations'!$C24)/2-'Mass Ion Calculations'!$D$5,('Mass Ion Calculations'!$F$18+'AA Exact Masses'!$Q$3+'AA Exact Masses'!$Q$3-'Mass Ion Calculations'!$E$12-'Mass Ion Calculations'!$E24)/2-'Mass Ion Calculations'!$D$5),IF('Mass Ion Calculations'!$D$7="Yes", ('Mass Ion Calculations'!$D$15+'AA Exact Masses'!$Q$3+'AA Exact Masses'!$Q$3-'Mass Ion Calculations'!$C$12-'Mass Ion Calculations'!$C24)/2-'Mass Ion Calculations'!$D$5,('Mass Ion Calculations'!$F$15+'AA Exact Masses'!$Q$3+'AA Exact Masses'!$Q$3-'Mass Ion Calculations'!$E$12-'Mass Ion Calculations'!$E24)/2-'Mass Ion Calculations'!$D$5)))</f>
        <v/>
      </c>
      <c r="K23" s="3" t="str">
        <f>IF(OR($B23="",K$3=""),"",IF('Mass Ion Calculations'!$D$6="Yes",IF('Mass Ion Calculations'!$D$7="Yes",('Mass Ion Calculations'!$D$18+'AA Exact Masses'!$Q$3+'AA Exact Masses'!$Q$3-'Mass Ion Calculations'!$C$13-'Mass Ion Calculations'!$C24)/2-'Mass Ion Calculations'!$D$5,('Mass Ion Calculations'!$F$18+'AA Exact Masses'!$Q$3+'AA Exact Masses'!$Q$3-'Mass Ion Calculations'!$E$13-'Mass Ion Calculations'!$E24)/2-'Mass Ion Calculations'!$D$5),IF('Mass Ion Calculations'!$D$7="Yes", ('Mass Ion Calculations'!$D$15+'AA Exact Masses'!$Q$3+'AA Exact Masses'!$Q$3-'Mass Ion Calculations'!$C$13-'Mass Ion Calculations'!$C24)/2-'Mass Ion Calculations'!$D$5,('Mass Ion Calculations'!$F$15+'AA Exact Masses'!$Q$3+'AA Exact Masses'!$Q$3-'Mass Ion Calculations'!$E$13-'Mass Ion Calculations'!$E24)/2-'Mass Ion Calculations'!$D$5)))</f>
        <v/>
      </c>
      <c r="L23" s="3" t="str">
        <f>IF(OR($B23="",L$3=""),"",IF('Mass Ion Calculations'!$D$6="Yes",IF('Mass Ion Calculations'!$D$7="Yes",('Mass Ion Calculations'!$D$18+'AA Exact Masses'!$Q$3+'AA Exact Masses'!$Q$3-'Mass Ion Calculations'!$C$14-'Mass Ion Calculations'!$C24)/2-'Mass Ion Calculations'!$D$5,('Mass Ion Calculations'!$F$18+'AA Exact Masses'!$Q$3+'AA Exact Masses'!$Q$3-'Mass Ion Calculations'!$E$14-'Mass Ion Calculations'!$E24)/2-'Mass Ion Calculations'!$D$5),IF('Mass Ion Calculations'!$D$7="Yes", ('Mass Ion Calculations'!$D$15+'AA Exact Masses'!$Q$3+'AA Exact Masses'!$Q$3-'Mass Ion Calculations'!$C$14-'Mass Ion Calculations'!$C24)/2-'Mass Ion Calculations'!$D$5,('Mass Ion Calculations'!$F$15+'AA Exact Masses'!$Q$3+'AA Exact Masses'!$Q$3-'Mass Ion Calculations'!$E$14-'Mass Ion Calculations'!$E24)/2-'Mass Ion Calculations'!$D$5)))</f>
        <v/>
      </c>
      <c r="M23" s="3" t="str">
        <f>IF(OR($B23="",M$3=""),"",IF('Mass Ion Calculations'!$D$6="Yes",IF('Mass Ion Calculations'!$D$7="Yes",('Mass Ion Calculations'!$D$18+'AA Exact Masses'!$Q$3+'AA Exact Masses'!$Q$3-'Mass Ion Calculations'!$C$15-'Mass Ion Calculations'!$C24)/2-'Mass Ion Calculations'!$D$5,('Mass Ion Calculations'!$F$18+'AA Exact Masses'!$Q$3+'AA Exact Masses'!$Q$3-'Mass Ion Calculations'!$E$15-'Mass Ion Calculations'!$E24)/2-'Mass Ion Calculations'!$D$5),IF('Mass Ion Calculations'!$D$7="Yes", ('Mass Ion Calculations'!$D$15+'AA Exact Masses'!$Q$3+'AA Exact Masses'!$Q$3-'Mass Ion Calculations'!$C$15-'Mass Ion Calculations'!$C24)/2-'Mass Ion Calculations'!$D$5,('Mass Ion Calculations'!$F$15+'AA Exact Masses'!$Q$3+'AA Exact Masses'!$Q$3-'Mass Ion Calculations'!$E$15-'Mass Ion Calculations'!$E24)/2-'Mass Ion Calculations'!$D$5)))</f>
        <v/>
      </c>
      <c r="N23" s="3" t="str">
        <f>IF(OR($B23="",N$3=""),"",IF('Mass Ion Calculations'!$D$6="Yes",IF('Mass Ion Calculations'!$D$7="Yes",('Mass Ion Calculations'!$D$18+'AA Exact Masses'!$Q$3+'AA Exact Masses'!$Q$3-'Mass Ion Calculations'!$C$16-'Mass Ion Calculations'!$C24)/2-'Mass Ion Calculations'!$D$5,('Mass Ion Calculations'!$F$18+'AA Exact Masses'!$Q$3+'AA Exact Masses'!$Q$3-'Mass Ion Calculations'!$E$16-'Mass Ion Calculations'!$E24)/2-'Mass Ion Calculations'!$D$5),IF('Mass Ion Calculations'!$D$7="Yes", ('Mass Ion Calculations'!$D$15+'AA Exact Masses'!$Q$3+'AA Exact Masses'!$Q$3-'Mass Ion Calculations'!$C$16-'Mass Ion Calculations'!$C24)/2-'Mass Ion Calculations'!$D$5,('Mass Ion Calculations'!$F$15+'AA Exact Masses'!$Q$3+'AA Exact Masses'!$Q$3-'Mass Ion Calculations'!$E$16-'Mass Ion Calculations'!$E24)/2-'Mass Ion Calculations'!$D$5)))</f>
        <v/>
      </c>
      <c r="O23" s="3" t="str">
        <f>IF(OR($B23="",O$3=""),"",IF('Mass Ion Calculations'!$D$6="Yes",IF('Mass Ion Calculations'!$D$7="Yes",('Mass Ion Calculations'!$D$18+'AA Exact Masses'!$Q$3+'AA Exact Masses'!$Q$3-'Mass Ion Calculations'!$C$17-'Mass Ion Calculations'!$C24)/2-'Mass Ion Calculations'!$D$5,('Mass Ion Calculations'!$F$18+'AA Exact Masses'!$Q$3+'AA Exact Masses'!$Q$3-'Mass Ion Calculations'!$E$17-'Mass Ion Calculations'!$E24)/2-'Mass Ion Calculations'!$D$5),IF('Mass Ion Calculations'!$D$7="Yes", ('Mass Ion Calculations'!$D$15+'AA Exact Masses'!$Q$3+'AA Exact Masses'!$Q$3-'Mass Ion Calculations'!$C$17-'Mass Ion Calculations'!$C24)/2-'Mass Ion Calculations'!$D$5,('Mass Ion Calculations'!$F$15+'AA Exact Masses'!$Q$3+'AA Exact Masses'!$Q$3-'Mass Ion Calculations'!$E$17-'Mass Ion Calculations'!$E24)/2-'Mass Ion Calculations'!$D$5)))</f>
        <v/>
      </c>
      <c r="P23" s="3" t="str">
        <f>IF(OR($B23="",P$3=""),"",IF('Mass Ion Calculations'!$D$6="Yes",IF('Mass Ion Calculations'!$D$7="Yes",('Mass Ion Calculations'!$D$18+'AA Exact Masses'!$Q$3+'AA Exact Masses'!$Q$3-'Mass Ion Calculations'!$C$18-'Mass Ion Calculations'!$C24)/2-'Mass Ion Calculations'!$D$5,('Mass Ion Calculations'!$F$18+'AA Exact Masses'!$Q$3+'AA Exact Masses'!$Q$3-'Mass Ion Calculations'!$E$18-'Mass Ion Calculations'!$E24)/2-'Mass Ion Calculations'!$D$5),IF('Mass Ion Calculations'!$D$7="Yes", ('Mass Ion Calculations'!$D$15+'AA Exact Masses'!$Q$3+'AA Exact Masses'!$Q$3-'Mass Ion Calculations'!$C$18-'Mass Ion Calculations'!$C24)/2-'Mass Ion Calculations'!$D$5,('Mass Ion Calculations'!$F$15+'AA Exact Masses'!$Q$3+'AA Exact Masses'!$Q$3-'Mass Ion Calculations'!$E$18-'Mass Ion Calculations'!$E24)/2-'Mass Ion Calculations'!$D$5)))</f>
        <v/>
      </c>
      <c r="Q23" s="3" t="str">
        <f>IF(OR($B23="",Q$3=""),"",IF('Mass Ion Calculations'!$D$6="Yes",IF('Mass Ion Calculations'!$D$7="Yes",('Mass Ion Calculations'!$D$18+'AA Exact Masses'!$Q$3+'AA Exact Masses'!$Q$3-'Mass Ion Calculations'!$C$19-'Mass Ion Calculations'!$C24)/2-'Mass Ion Calculations'!$D$5,('Mass Ion Calculations'!$F$18+'AA Exact Masses'!$Q$3+'AA Exact Masses'!$Q$3-'Mass Ion Calculations'!$E$19-'Mass Ion Calculations'!$E24)/2-'Mass Ion Calculations'!$D$5),IF('Mass Ion Calculations'!$D$7="Yes", ('Mass Ion Calculations'!$D$15+'AA Exact Masses'!$Q$3+'AA Exact Masses'!$Q$3-'Mass Ion Calculations'!$C$19-'Mass Ion Calculations'!$C24)/2-'Mass Ion Calculations'!$D$5,('Mass Ion Calculations'!$F$15+'AA Exact Masses'!$Q$3+'AA Exact Masses'!$Q$3-'Mass Ion Calculations'!$E$19-'Mass Ion Calculations'!$E24)/2-'Mass Ion Calculations'!$D$5)))</f>
        <v/>
      </c>
      <c r="R23" s="3" t="str">
        <f>IF(OR($B23="",R$3=""),"",IF('Mass Ion Calculations'!$D$6="Yes",IF('Mass Ion Calculations'!$D$7="Yes",('Mass Ion Calculations'!$D$18+'AA Exact Masses'!$Q$3+'AA Exact Masses'!$Q$3-'Mass Ion Calculations'!$C$20-'Mass Ion Calculations'!$C24)/2-'Mass Ion Calculations'!$D$5,('Mass Ion Calculations'!$F$18+'AA Exact Masses'!$Q$3+'AA Exact Masses'!$Q$3-'Mass Ion Calculations'!$E$20-'Mass Ion Calculations'!$E24)/2-'Mass Ion Calculations'!$D$5),IF('Mass Ion Calculations'!$D$7="Yes", ('Mass Ion Calculations'!$D$15+'AA Exact Masses'!$Q$3+'AA Exact Masses'!$Q$3-'Mass Ion Calculations'!$C$20-'Mass Ion Calculations'!$C24)/2-'Mass Ion Calculations'!$D$5,('Mass Ion Calculations'!$F$15+'AA Exact Masses'!$Q$3+'AA Exact Masses'!$Q$3-'Mass Ion Calculations'!$E$20-'Mass Ion Calculations'!$E24)/2-'Mass Ion Calculations'!$D$5)))</f>
        <v/>
      </c>
      <c r="S23" s="3" t="str">
        <f>IF(OR($B23="",S$3=""),"",IF('Mass Ion Calculations'!$D$6="Yes",IF('Mass Ion Calculations'!$D$7="Yes",('Mass Ion Calculations'!$D$18+'AA Exact Masses'!$Q$3+'AA Exact Masses'!$Q$3-'Mass Ion Calculations'!$C$21-'Mass Ion Calculations'!$C24)/2-'Mass Ion Calculations'!$D$5,('Mass Ion Calculations'!$F$18+'AA Exact Masses'!$Q$3+'AA Exact Masses'!$Q$3-'Mass Ion Calculations'!$E$21-'Mass Ion Calculations'!$E24)/2-'Mass Ion Calculations'!$D$5),IF('Mass Ion Calculations'!$D$7="Yes", ('Mass Ion Calculations'!$D$15+'AA Exact Masses'!$Q$3+'AA Exact Masses'!$Q$3-'Mass Ion Calculations'!$C$21-'Mass Ion Calculations'!$C24)/2-'Mass Ion Calculations'!$D$5,('Mass Ion Calculations'!$F$15+'AA Exact Masses'!$Q$3+'AA Exact Masses'!$Q$3-'Mass Ion Calculations'!$E$21-'Mass Ion Calculations'!$E24)/2-'Mass Ion Calculations'!$D$5)))</f>
        <v/>
      </c>
      <c r="T23" s="3" t="str">
        <f>IF(OR($B23="",T$3=""),"",IF('Mass Ion Calculations'!$D$6="Yes",IF('Mass Ion Calculations'!$D$7="Yes",('Mass Ion Calculations'!$D$18+'AA Exact Masses'!$Q$3+'AA Exact Masses'!$Q$3-'Mass Ion Calculations'!$C$22-'Mass Ion Calculations'!$C24)/2-'Mass Ion Calculations'!$D$5,('Mass Ion Calculations'!$F$18+'AA Exact Masses'!$Q$3+'AA Exact Masses'!$Q$3-'Mass Ion Calculations'!$E$22-'Mass Ion Calculations'!$E24)/2-'Mass Ion Calculations'!$D$5),IF('Mass Ion Calculations'!$D$7="Yes", ('Mass Ion Calculations'!$D$15+'AA Exact Masses'!$Q$3+'AA Exact Masses'!$Q$3-'Mass Ion Calculations'!$C$22-'Mass Ion Calculations'!$C24)/2-'Mass Ion Calculations'!$D$5,('Mass Ion Calculations'!$F$15+'AA Exact Masses'!$Q$3+'AA Exact Masses'!$Q$3-'Mass Ion Calculations'!$E$22-'Mass Ion Calculations'!$E24)/2-'Mass Ion Calculations'!$D$5)))</f>
        <v/>
      </c>
      <c r="U23" s="3" t="str">
        <f>IF(OR($B23="",U$3=""),"",IF('Mass Ion Calculations'!$D$6="Yes",IF('Mass Ion Calculations'!$D$7="Yes",('Mass Ion Calculations'!$D$18+'AA Exact Masses'!$Q$3+'AA Exact Masses'!$Q$3-'Mass Ion Calculations'!$C$23-'Mass Ion Calculations'!$C24)/2-'Mass Ion Calculations'!$D$5,('Mass Ion Calculations'!$F$18+'AA Exact Masses'!$Q$3+'AA Exact Masses'!$Q$3-'Mass Ion Calculations'!$E$23-'Mass Ion Calculations'!$E24)/2-'Mass Ion Calculations'!$D$5),IF('Mass Ion Calculations'!$D$7="Yes", ('Mass Ion Calculations'!$D$15+'AA Exact Masses'!$Q$3+'AA Exact Masses'!$Q$3-'Mass Ion Calculations'!$C$23-'Mass Ion Calculations'!$C24)/2-'Mass Ion Calculations'!$D$5,('Mass Ion Calculations'!$F$15+'AA Exact Masses'!$Q$3+'AA Exact Masses'!$Q$3-'Mass Ion Calculations'!$E$23-'Mass Ion Calculations'!$E24)/2-'Mass Ion Calculations'!$D$5)))</f>
        <v/>
      </c>
      <c r="V23" s="3" t="str">
        <f>IF(OR($B23="",V$3=""),"",IF('Mass Ion Calculations'!$D$6="Yes",IF('Mass Ion Calculations'!$D$7="Yes",('Mass Ion Calculations'!$D$18+'AA Exact Masses'!$Q$3+'AA Exact Masses'!$Q$3-'Mass Ion Calculations'!$C$24-'Mass Ion Calculations'!$C24)/2-'Mass Ion Calculations'!$D$5,('Mass Ion Calculations'!$F$18+'AA Exact Masses'!$Q$3+'AA Exact Masses'!$Q$3-'Mass Ion Calculations'!$E$24-'Mass Ion Calculations'!$E24)/2-'Mass Ion Calculations'!$D$5),IF('Mass Ion Calculations'!$D$7="Yes", ('Mass Ion Calculations'!$D$15+'AA Exact Masses'!$Q$3+'AA Exact Masses'!$Q$3-'Mass Ion Calculations'!$C$24-'Mass Ion Calculations'!$C24)/2-'Mass Ion Calculations'!$D$5,('Mass Ion Calculations'!$F$15+'AA Exact Masses'!$Q$3+'AA Exact Masses'!$Q$3-'Mass Ion Calculations'!$E$24-'Mass Ion Calculations'!$E24)/2-'Mass Ion Calculations'!$D$5)))</f>
        <v/>
      </c>
      <c r="W23" s="3" t="str">
        <f>IF(OR($B23="",W$3=""),"",IF('Mass Ion Calculations'!$D$6="Yes",IF('Mass Ion Calculations'!$D$7="Yes",('Mass Ion Calculations'!$D$18+'AA Exact Masses'!$Q$3+'AA Exact Masses'!$Q$3-'Mass Ion Calculations'!$C$25-'Mass Ion Calculations'!$C24)/2-'Mass Ion Calculations'!$D$5,('Mass Ion Calculations'!$F$18+'AA Exact Masses'!$Q$3+'AA Exact Masses'!$Q$3-'Mass Ion Calculations'!$E$25-'Mass Ion Calculations'!$E24)/2-'Mass Ion Calculations'!$D$5),IF('Mass Ion Calculations'!$D$7="Yes", ('Mass Ion Calculations'!$D$15+'AA Exact Masses'!$Q$3+'AA Exact Masses'!$Q$3-'Mass Ion Calculations'!$C$25-'Mass Ion Calculations'!$C24)/2-'Mass Ion Calculations'!$D$5,('Mass Ion Calculations'!$F$15+'AA Exact Masses'!$Q$3+'AA Exact Masses'!$Q$3-'Mass Ion Calculations'!$E$25-'Mass Ion Calculations'!$E24)/2-'Mass Ion Calculations'!$D$5)))</f>
        <v/>
      </c>
      <c r="X23" s="3" t="str">
        <f>IF(OR($B23="",X$3=""),"",IF('Mass Ion Calculations'!$D$6="Yes",IF('Mass Ion Calculations'!$D$7="Yes",('Mass Ion Calculations'!$D$18+'AA Exact Masses'!$Q$3+'AA Exact Masses'!$Q$3-'Mass Ion Calculations'!$C$26-'Mass Ion Calculations'!$C24)/2-'Mass Ion Calculations'!$D$5,('Mass Ion Calculations'!$F$18+'AA Exact Masses'!$Q$3+'AA Exact Masses'!$Q$3-'Mass Ion Calculations'!$E$26-'Mass Ion Calculations'!$E24)/2-'Mass Ion Calculations'!$D$5),IF('Mass Ion Calculations'!$D$7="Yes", ('Mass Ion Calculations'!$D$15+'AA Exact Masses'!$Q$3+'AA Exact Masses'!$Q$3-'Mass Ion Calculations'!$C$26-'Mass Ion Calculations'!$C24)/2-'Mass Ion Calculations'!$D$5,('Mass Ion Calculations'!$F$15+'AA Exact Masses'!$Q$3+'AA Exact Masses'!$Q$3-'Mass Ion Calculations'!$E$26-'Mass Ion Calculations'!$E24)/2-'Mass Ion Calculations'!$D$5)))</f>
        <v/>
      </c>
      <c r="Y23" s="3" t="str">
        <f>IF(OR($B23="",Y$3=""),"",IF('Mass Ion Calculations'!$D$6="Yes",IF('Mass Ion Calculations'!$D$7="Yes",('Mass Ion Calculations'!$D$18+'AA Exact Masses'!$Q$3+'AA Exact Masses'!$Q$3-'Mass Ion Calculations'!$C$27-'Mass Ion Calculations'!$C24)/2-'Mass Ion Calculations'!$D$5,('Mass Ion Calculations'!$F$18+'AA Exact Masses'!$Q$3+'AA Exact Masses'!$Q$3-'Mass Ion Calculations'!$E$27-'Mass Ion Calculations'!$E24)/2-'Mass Ion Calculations'!$D$5),IF('Mass Ion Calculations'!$D$7="Yes", ('Mass Ion Calculations'!$D$15+'AA Exact Masses'!$Q$3+'AA Exact Masses'!$Q$3-'Mass Ion Calculations'!$C$27-'Mass Ion Calculations'!$C24)/2-'Mass Ion Calculations'!$D$5,('Mass Ion Calculations'!$F$15+'AA Exact Masses'!$Q$3+'AA Exact Masses'!$Q$3-'Mass Ion Calculations'!$E$27-'Mass Ion Calculations'!$E24)/2-'Mass Ion Calculations'!$D$5)))</f>
        <v/>
      </c>
      <c r="Z23" s="3" t="str">
        <f>IF(OR($B23="",Z$3=""),"",IF('Mass Ion Calculations'!$D$6="Yes",IF('Mass Ion Calculations'!$D$7="Yes",('Mass Ion Calculations'!$D$18+'AA Exact Masses'!$Q$3+'AA Exact Masses'!$Q$3-'Mass Ion Calculations'!$C$28-'Mass Ion Calculations'!$C24)/2-'Mass Ion Calculations'!$D$5,('Mass Ion Calculations'!$F$18+'AA Exact Masses'!$Q$3+'AA Exact Masses'!$Q$3-'Mass Ion Calculations'!$E$28-'Mass Ion Calculations'!$E24)/2-'Mass Ion Calculations'!$D$5),IF('Mass Ion Calculations'!$D$7="Yes", ('Mass Ion Calculations'!$D$15+'AA Exact Masses'!$Q$3+'AA Exact Masses'!$Q$3-'Mass Ion Calculations'!$C$28-'Mass Ion Calculations'!$C24)/2-'Mass Ion Calculations'!$D$5,('Mass Ion Calculations'!$F$15+'AA Exact Masses'!$Q$3+'AA Exact Masses'!$Q$3-'Mass Ion Calculations'!$E$28-'Mass Ion Calculations'!$E24)/2-'Mass Ion Calculations'!$D$5)))</f>
        <v/>
      </c>
    </row>
    <row r="24" spans="2:26" x14ac:dyDescent="0.25">
      <c r="B24" s="4" t="str">
        <f>IF('Mass Ion Calculations'!B25="","", 'Mass Ion Calculations'!B25)</f>
        <v/>
      </c>
      <c r="C24" s="3" t="str">
        <f>IF(OR($B24="",C$3=""),"",IF('Mass Ion Calculations'!$D$6="Yes",IF('Mass Ion Calculations'!$D$7="Yes",('Mass Ion Calculations'!$D$18+'AA Exact Masses'!$Q$3+'AA Exact Masses'!$Q$3-'Mass Ion Calculations'!$C$5-'Mass Ion Calculations'!$C25)/2-'Mass Ion Calculations'!$D$5,('Mass Ion Calculations'!$F$18+'AA Exact Masses'!$Q$3+'AA Exact Masses'!$Q$3-'Mass Ion Calculations'!$E$5-'Mass Ion Calculations'!$E25)/2-'Mass Ion Calculations'!$D$5),IF('Mass Ion Calculations'!$D$7="Yes", ('Mass Ion Calculations'!$D$15+'AA Exact Masses'!$Q$3+'AA Exact Masses'!$Q$3-'Mass Ion Calculations'!$C$5-'Mass Ion Calculations'!$C25)/2-'Mass Ion Calculations'!$D$5,('Mass Ion Calculations'!$F$15+'AA Exact Masses'!$Q$3+'AA Exact Masses'!$Q$3-'Mass Ion Calculations'!$E$5-'Mass Ion Calculations'!$E25)/2-'Mass Ion Calculations'!$D$5)))</f>
        <v/>
      </c>
      <c r="D24" s="3" t="str">
        <f>IF(OR($B24="",D$3=""),"",IF('Mass Ion Calculations'!$D$6="Yes",IF('Mass Ion Calculations'!$D$7="Yes",('Mass Ion Calculations'!$D$18+'AA Exact Masses'!$Q$3+'AA Exact Masses'!$Q$3-'Mass Ion Calculations'!$C$6-'Mass Ion Calculations'!$C25)/2-'Mass Ion Calculations'!$D$5,('Mass Ion Calculations'!$F$18+'AA Exact Masses'!$Q$3+'AA Exact Masses'!$Q$3-'Mass Ion Calculations'!$E$6-'Mass Ion Calculations'!$E25)/2-'Mass Ion Calculations'!$D$5),IF('Mass Ion Calculations'!$D$7="Yes", ('Mass Ion Calculations'!$D$15+'AA Exact Masses'!$Q$3+'AA Exact Masses'!$Q$3-'Mass Ion Calculations'!$C$6-'Mass Ion Calculations'!$C25)/2-'Mass Ion Calculations'!$D$5,('Mass Ion Calculations'!$F$15+'AA Exact Masses'!$Q$3+'AA Exact Masses'!$Q$3-'Mass Ion Calculations'!$E$6-'Mass Ion Calculations'!$E25)/2-'Mass Ion Calculations'!$D$5)))</f>
        <v/>
      </c>
      <c r="E24" s="3" t="str">
        <f>IF(OR($B24="",E$3=""),"",IF('Mass Ion Calculations'!$D$6="Yes",IF('Mass Ion Calculations'!$D$7="Yes",('Mass Ion Calculations'!$D$18+'AA Exact Masses'!$Q$3+'AA Exact Masses'!$Q$3-'Mass Ion Calculations'!$C$7-'Mass Ion Calculations'!$C25)/2-'Mass Ion Calculations'!$D$5,('Mass Ion Calculations'!$F$18+'AA Exact Masses'!$Q$3+'AA Exact Masses'!$Q$3-'Mass Ion Calculations'!$E$7-'Mass Ion Calculations'!$E25)/2-'Mass Ion Calculations'!$D$5),IF('Mass Ion Calculations'!$D$7="Yes", ('Mass Ion Calculations'!$D$15+'AA Exact Masses'!$Q$3+'AA Exact Masses'!$Q$3-'Mass Ion Calculations'!$C$7-'Mass Ion Calculations'!$C25)/2-'Mass Ion Calculations'!$D$5,('Mass Ion Calculations'!$F$15+'AA Exact Masses'!$Q$3+'AA Exact Masses'!$Q$3-'Mass Ion Calculations'!$E$7-'Mass Ion Calculations'!$E25)/2-'Mass Ion Calculations'!$D$5)))</f>
        <v/>
      </c>
      <c r="F24" s="3" t="str">
        <f>IF(OR($B24="",F$3=""),"",IF('Mass Ion Calculations'!$D$6="Yes",IF('Mass Ion Calculations'!$D$7="Yes",('Mass Ion Calculations'!$D$18+'AA Exact Masses'!$Q$3+'AA Exact Masses'!$Q$3-'Mass Ion Calculations'!$C$8-'Mass Ion Calculations'!$C25)/2-'Mass Ion Calculations'!$D$5,('Mass Ion Calculations'!$F$18+'AA Exact Masses'!$Q$3+'AA Exact Masses'!$Q$3-'Mass Ion Calculations'!$E$8-'Mass Ion Calculations'!$E25)/2-'Mass Ion Calculations'!$D$5),IF('Mass Ion Calculations'!$D$7="Yes", ('Mass Ion Calculations'!$D$15+'AA Exact Masses'!$Q$3+'AA Exact Masses'!$Q$3-'Mass Ion Calculations'!$C$8-'Mass Ion Calculations'!$C25)/2-'Mass Ion Calculations'!$D$5,('Mass Ion Calculations'!$F$15+'AA Exact Masses'!$Q$3+'AA Exact Masses'!$Q$3-'Mass Ion Calculations'!$E$8-'Mass Ion Calculations'!$E25)/2-'Mass Ion Calculations'!$D$5)))</f>
        <v/>
      </c>
      <c r="G24" s="3" t="str">
        <f>IF(OR($B24="",G$3=""),"",IF('Mass Ion Calculations'!$D$6="Yes",IF('Mass Ion Calculations'!$D$7="Yes",('Mass Ion Calculations'!$D$18+'AA Exact Masses'!$Q$3+'AA Exact Masses'!$Q$3-'Mass Ion Calculations'!$C$9-'Mass Ion Calculations'!$C25)/2-'Mass Ion Calculations'!$D$5,('Mass Ion Calculations'!$F$18+'AA Exact Masses'!$Q$3+'AA Exact Masses'!$Q$3-'Mass Ion Calculations'!$E$9-'Mass Ion Calculations'!$E25)/2-'Mass Ion Calculations'!$D$5),IF('Mass Ion Calculations'!$D$7="Yes", ('Mass Ion Calculations'!$D$15+'AA Exact Masses'!$Q$3+'AA Exact Masses'!$Q$3-'Mass Ion Calculations'!$C$9-'Mass Ion Calculations'!$C25)/2-'Mass Ion Calculations'!$D$5,('Mass Ion Calculations'!$F$15+'AA Exact Masses'!$Q$3+'AA Exact Masses'!$Q$3-'Mass Ion Calculations'!$E$9-'Mass Ion Calculations'!$E25)/2-'Mass Ion Calculations'!$D$5)))</f>
        <v/>
      </c>
      <c r="H24" s="3" t="str">
        <f>IF(OR($B24="",H$3=""),"",IF('Mass Ion Calculations'!$D$6="Yes",IF('Mass Ion Calculations'!$D$7="Yes",('Mass Ion Calculations'!$D$18+'AA Exact Masses'!$Q$3+'AA Exact Masses'!$Q$3-'Mass Ion Calculations'!$C$10-'Mass Ion Calculations'!$C25)/2-'Mass Ion Calculations'!$D$5,('Mass Ion Calculations'!$F$18+'AA Exact Masses'!$Q$3+'AA Exact Masses'!$Q$3-'Mass Ion Calculations'!$E$10-'Mass Ion Calculations'!$E25)/2-'Mass Ion Calculations'!$D$5),IF('Mass Ion Calculations'!$D$7="Yes", ('Mass Ion Calculations'!$D$15+'AA Exact Masses'!$Q$3+'AA Exact Masses'!$Q$3-'Mass Ion Calculations'!$C$10-'Mass Ion Calculations'!$C25)/2-'Mass Ion Calculations'!$D$5,('Mass Ion Calculations'!$F$15+'AA Exact Masses'!$Q$3+'AA Exact Masses'!$Q$3-'Mass Ion Calculations'!$E$10-'Mass Ion Calculations'!$E25)/2-'Mass Ion Calculations'!$D$5)))</f>
        <v/>
      </c>
      <c r="I24" s="3" t="str">
        <f>IF(OR($B24="",I$3=""),"",IF('Mass Ion Calculations'!$D$6="Yes",IF('Mass Ion Calculations'!$D$7="Yes",('Mass Ion Calculations'!$D$18+'AA Exact Masses'!$Q$3+'AA Exact Masses'!$Q$3-'Mass Ion Calculations'!$C$11-'Mass Ion Calculations'!$C25)/2-'Mass Ion Calculations'!$D$5,('Mass Ion Calculations'!$F$18+'AA Exact Masses'!$Q$3+'AA Exact Masses'!$Q$3-'Mass Ion Calculations'!$E$11-'Mass Ion Calculations'!$E25)/2-'Mass Ion Calculations'!$D$5),IF('Mass Ion Calculations'!$D$7="Yes", ('Mass Ion Calculations'!$D$15+'AA Exact Masses'!$Q$3+'AA Exact Masses'!$Q$3-'Mass Ion Calculations'!$C$11-'Mass Ion Calculations'!$C25)/2-'Mass Ion Calculations'!$D$5,('Mass Ion Calculations'!$F$15+'AA Exact Masses'!$Q$3+'AA Exact Masses'!$Q$3-'Mass Ion Calculations'!$E$11-'Mass Ion Calculations'!$E25)/2-'Mass Ion Calculations'!$D$5)))</f>
        <v/>
      </c>
      <c r="J24" s="3" t="str">
        <f>IF(OR($B24="",J$3=""),"",IF('Mass Ion Calculations'!$D$6="Yes",IF('Mass Ion Calculations'!$D$7="Yes",('Mass Ion Calculations'!$D$18+'AA Exact Masses'!$Q$3+'AA Exact Masses'!$Q$3-'Mass Ion Calculations'!$C$12-'Mass Ion Calculations'!$C25)/2-'Mass Ion Calculations'!$D$5,('Mass Ion Calculations'!$F$18+'AA Exact Masses'!$Q$3+'AA Exact Masses'!$Q$3-'Mass Ion Calculations'!$E$12-'Mass Ion Calculations'!$E25)/2-'Mass Ion Calculations'!$D$5),IF('Mass Ion Calculations'!$D$7="Yes", ('Mass Ion Calculations'!$D$15+'AA Exact Masses'!$Q$3+'AA Exact Masses'!$Q$3-'Mass Ion Calculations'!$C$12-'Mass Ion Calculations'!$C25)/2-'Mass Ion Calculations'!$D$5,('Mass Ion Calculations'!$F$15+'AA Exact Masses'!$Q$3+'AA Exact Masses'!$Q$3-'Mass Ion Calculations'!$E$12-'Mass Ion Calculations'!$E25)/2-'Mass Ion Calculations'!$D$5)))</f>
        <v/>
      </c>
      <c r="K24" s="3" t="str">
        <f>IF(OR($B24="",K$3=""),"",IF('Mass Ion Calculations'!$D$6="Yes",IF('Mass Ion Calculations'!$D$7="Yes",('Mass Ion Calculations'!$D$18+'AA Exact Masses'!$Q$3+'AA Exact Masses'!$Q$3-'Mass Ion Calculations'!$C$13-'Mass Ion Calculations'!$C25)/2-'Mass Ion Calculations'!$D$5,('Mass Ion Calculations'!$F$18+'AA Exact Masses'!$Q$3+'AA Exact Masses'!$Q$3-'Mass Ion Calculations'!$E$13-'Mass Ion Calculations'!$E25)/2-'Mass Ion Calculations'!$D$5),IF('Mass Ion Calculations'!$D$7="Yes", ('Mass Ion Calculations'!$D$15+'AA Exact Masses'!$Q$3+'AA Exact Masses'!$Q$3-'Mass Ion Calculations'!$C$13-'Mass Ion Calculations'!$C25)/2-'Mass Ion Calculations'!$D$5,('Mass Ion Calculations'!$F$15+'AA Exact Masses'!$Q$3+'AA Exact Masses'!$Q$3-'Mass Ion Calculations'!$E$13-'Mass Ion Calculations'!$E25)/2-'Mass Ion Calculations'!$D$5)))</f>
        <v/>
      </c>
      <c r="L24" s="3" t="str">
        <f>IF(OR($B24="",L$3=""),"",IF('Mass Ion Calculations'!$D$6="Yes",IF('Mass Ion Calculations'!$D$7="Yes",('Mass Ion Calculations'!$D$18+'AA Exact Masses'!$Q$3+'AA Exact Masses'!$Q$3-'Mass Ion Calculations'!$C$14-'Mass Ion Calculations'!$C25)/2-'Mass Ion Calculations'!$D$5,('Mass Ion Calculations'!$F$18+'AA Exact Masses'!$Q$3+'AA Exact Masses'!$Q$3-'Mass Ion Calculations'!$E$14-'Mass Ion Calculations'!$E25)/2-'Mass Ion Calculations'!$D$5),IF('Mass Ion Calculations'!$D$7="Yes", ('Mass Ion Calculations'!$D$15+'AA Exact Masses'!$Q$3+'AA Exact Masses'!$Q$3-'Mass Ion Calculations'!$C$14-'Mass Ion Calculations'!$C25)/2-'Mass Ion Calculations'!$D$5,('Mass Ion Calculations'!$F$15+'AA Exact Masses'!$Q$3+'AA Exact Masses'!$Q$3-'Mass Ion Calculations'!$E$14-'Mass Ion Calculations'!$E25)/2-'Mass Ion Calculations'!$D$5)))</f>
        <v/>
      </c>
      <c r="M24" s="3" t="str">
        <f>IF(OR($B24="",M$3=""),"",IF('Mass Ion Calculations'!$D$6="Yes",IF('Mass Ion Calculations'!$D$7="Yes",('Mass Ion Calculations'!$D$18+'AA Exact Masses'!$Q$3+'AA Exact Masses'!$Q$3-'Mass Ion Calculations'!$C$15-'Mass Ion Calculations'!$C25)/2-'Mass Ion Calculations'!$D$5,('Mass Ion Calculations'!$F$18+'AA Exact Masses'!$Q$3+'AA Exact Masses'!$Q$3-'Mass Ion Calculations'!$E$15-'Mass Ion Calculations'!$E25)/2-'Mass Ion Calculations'!$D$5),IF('Mass Ion Calculations'!$D$7="Yes", ('Mass Ion Calculations'!$D$15+'AA Exact Masses'!$Q$3+'AA Exact Masses'!$Q$3-'Mass Ion Calculations'!$C$15-'Mass Ion Calculations'!$C25)/2-'Mass Ion Calculations'!$D$5,('Mass Ion Calculations'!$F$15+'AA Exact Masses'!$Q$3+'AA Exact Masses'!$Q$3-'Mass Ion Calculations'!$E$15-'Mass Ion Calculations'!$E25)/2-'Mass Ion Calculations'!$D$5)))</f>
        <v/>
      </c>
      <c r="N24" s="3" t="str">
        <f>IF(OR($B24="",N$3=""),"",IF('Mass Ion Calculations'!$D$6="Yes",IF('Mass Ion Calculations'!$D$7="Yes",('Mass Ion Calculations'!$D$18+'AA Exact Masses'!$Q$3+'AA Exact Masses'!$Q$3-'Mass Ion Calculations'!$C$16-'Mass Ion Calculations'!$C25)/2-'Mass Ion Calculations'!$D$5,('Mass Ion Calculations'!$F$18+'AA Exact Masses'!$Q$3+'AA Exact Masses'!$Q$3-'Mass Ion Calculations'!$E$16-'Mass Ion Calculations'!$E25)/2-'Mass Ion Calculations'!$D$5),IF('Mass Ion Calculations'!$D$7="Yes", ('Mass Ion Calculations'!$D$15+'AA Exact Masses'!$Q$3+'AA Exact Masses'!$Q$3-'Mass Ion Calculations'!$C$16-'Mass Ion Calculations'!$C25)/2-'Mass Ion Calculations'!$D$5,('Mass Ion Calculations'!$F$15+'AA Exact Masses'!$Q$3+'AA Exact Masses'!$Q$3-'Mass Ion Calculations'!$E$16-'Mass Ion Calculations'!$E25)/2-'Mass Ion Calculations'!$D$5)))</f>
        <v/>
      </c>
      <c r="O24" s="3" t="str">
        <f>IF(OR($B24="",O$3=""),"",IF('Mass Ion Calculations'!$D$6="Yes",IF('Mass Ion Calculations'!$D$7="Yes",('Mass Ion Calculations'!$D$18+'AA Exact Masses'!$Q$3+'AA Exact Masses'!$Q$3-'Mass Ion Calculations'!$C$17-'Mass Ion Calculations'!$C25)/2-'Mass Ion Calculations'!$D$5,('Mass Ion Calculations'!$F$18+'AA Exact Masses'!$Q$3+'AA Exact Masses'!$Q$3-'Mass Ion Calculations'!$E$17-'Mass Ion Calculations'!$E25)/2-'Mass Ion Calculations'!$D$5),IF('Mass Ion Calculations'!$D$7="Yes", ('Mass Ion Calculations'!$D$15+'AA Exact Masses'!$Q$3+'AA Exact Masses'!$Q$3-'Mass Ion Calculations'!$C$17-'Mass Ion Calculations'!$C25)/2-'Mass Ion Calculations'!$D$5,('Mass Ion Calculations'!$F$15+'AA Exact Masses'!$Q$3+'AA Exact Masses'!$Q$3-'Mass Ion Calculations'!$E$17-'Mass Ion Calculations'!$E25)/2-'Mass Ion Calculations'!$D$5)))</f>
        <v/>
      </c>
      <c r="P24" s="3" t="str">
        <f>IF(OR($B24="",P$3=""),"",IF('Mass Ion Calculations'!$D$6="Yes",IF('Mass Ion Calculations'!$D$7="Yes",('Mass Ion Calculations'!$D$18+'AA Exact Masses'!$Q$3+'AA Exact Masses'!$Q$3-'Mass Ion Calculations'!$C$18-'Mass Ion Calculations'!$C25)/2-'Mass Ion Calculations'!$D$5,('Mass Ion Calculations'!$F$18+'AA Exact Masses'!$Q$3+'AA Exact Masses'!$Q$3-'Mass Ion Calculations'!$E$18-'Mass Ion Calculations'!$E25)/2-'Mass Ion Calculations'!$D$5),IF('Mass Ion Calculations'!$D$7="Yes", ('Mass Ion Calculations'!$D$15+'AA Exact Masses'!$Q$3+'AA Exact Masses'!$Q$3-'Mass Ion Calculations'!$C$18-'Mass Ion Calculations'!$C25)/2-'Mass Ion Calculations'!$D$5,('Mass Ion Calculations'!$F$15+'AA Exact Masses'!$Q$3+'AA Exact Masses'!$Q$3-'Mass Ion Calculations'!$E$18-'Mass Ion Calculations'!$E25)/2-'Mass Ion Calculations'!$D$5)))</f>
        <v/>
      </c>
      <c r="Q24" s="3" t="str">
        <f>IF(OR($B24="",Q$3=""),"",IF('Mass Ion Calculations'!$D$6="Yes",IF('Mass Ion Calculations'!$D$7="Yes",('Mass Ion Calculations'!$D$18+'AA Exact Masses'!$Q$3+'AA Exact Masses'!$Q$3-'Mass Ion Calculations'!$C$19-'Mass Ion Calculations'!$C25)/2-'Mass Ion Calculations'!$D$5,('Mass Ion Calculations'!$F$18+'AA Exact Masses'!$Q$3+'AA Exact Masses'!$Q$3-'Mass Ion Calculations'!$E$19-'Mass Ion Calculations'!$E25)/2-'Mass Ion Calculations'!$D$5),IF('Mass Ion Calculations'!$D$7="Yes", ('Mass Ion Calculations'!$D$15+'AA Exact Masses'!$Q$3+'AA Exact Masses'!$Q$3-'Mass Ion Calculations'!$C$19-'Mass Ion Calculations'!$C25)/2-'Mass Ion Calculations'!$D$5,('Mass Ion Calculations'!$F$15+'AA Exact Masses'!$Q$3+'AA Exact Masses'!$Q$3-'Mass Ion Calculations'!$E$19-'Mass Ion Calculations'!$E25)/2-'Mass Ion Calculations'!$D$5)))</f>
        <v/>
      </c>
      <c r="R24" s="3" t="str">
        <f>IF(OR($B24="",R$3=""),"",IF('Mass Ion Calculations'!$D$6="Yes",IF('Mass Ion Calculations'!$D$7="Yes",('Mass Ion Calculations'!$D$18+'AA Exact Masses'!$Q$3+'AA Exact Masses'!$Q$3-'Mass Ion Calculations'!$C$20-'Mass Ion Calculations'!$C25)/2-'Mass Ion Calculations'!$D$5,('Mass Ion Calculations'!$F$18+'AA Exact Masses'!$Q$3+'AA Exact Masses'!$Q$3-'Mass Ion Calculations'!$E$20-'Mass Ion Calculations'!$E25)/2-'Mass Ion Calculations'!$D$5),IF('Mass Ion Calculations'!$D$7="Yes", ('Mass Ion Calculations'!$D$15+'AA Exact Masses'!$Q$3+'AA Exact Masses'!$Q$3-'Mass Ion Calculations'!$C$20-'Mass Ion Calculations'!$C25)/2-'Mass Ion Calculations'!$D$5,('Mass Ion Calculations'!$F$15+'AA Exact Masses'!$Q$3+'AA Exact Masses'!$Q$3-'Mass Ion Calculations'!$E$20-'Mass Ion Calculations'!$E25)/2-'Mass Ion Calculations'!$D$5)))</f>
        <v/>
      </c>
      <c r="S24" s="3" t="str">
        <f>IF(OR($B24="",S$3=""),"",IF('Mass Ion Calculations'!$D$6="Yes",IF('Mass Ion Calculations'!$D$7="Yes",('Mass Ion Calculations'!$D$18+'AA Exact Masses'!$Q$3+'AA Exact Masses'!$Q$3-'Mass Ion Calculations'!$C$21-'Mass Ion Calculations'!$C25)/2-'Mass Ion Calculations'!$D$5,('Mass Ion Calculations'!$F$18+'AA Exact Masses'!$Q$3+'AA Exact Masses'!$Q$3-'Mass Ion Calculations'!$E$21-'Mass Ion Calculations'!$E25)/2-'Mass Ion Calculations'!$D$5),IF('Mass Ion Calculations'!$D$7="Yes", ('Mass Ion Calculations'!$D$15+'AA Exact Masses'!$Q$3+'AA Exact Masses'!$Q$3-'Mass Ion Calculations'!$C$21-'Mass Ion Calculations'!$C25)/2-'Mass Ion Calculations'!$D$5,('Mass Ion Calculations'!$F$15+'AA Exact Masses'!$Q$3+'AA Exact Masses'!$Q$3-'Mass Ion Calculations'!$E$21-'Mass Ion Calculations'!$E25)/2-'Mass Ion Calculations'!$D$5)))</f>
        <v/>
      </c>
      <c r="T24" s="3" t="str">
        <f>IF(OR($B24="",T$3=""),"",IF('Mass Ion Calculations'!$D$6="Yes",IF('Mass Ion Calculations'!$D$7="Yes",('Mass Ion Calculations'!$D$18+'AA Exact Masses'!$Q$3+'AA Exact Masses'!$Q$3-'Mass Ion Calculations'!$C$22-'Mass Ion Calculations'!$C25)/2-'Mass Ion Calculations'!$D$5,('Mass Ion Calculations'!$F$18+'AA Exact Masses'!$Q$3+'AA Exact Masses'!$Q$3-'Mass Ion Calculations'!$E$22-'Mass Ion Calculations'!$E25)/2-'Mass Ion Calculations'!$D$5),IF('Mass Ion Calculations'!$D$7="Yes", ('Mass Ion Calculations'!$D$15+'AA Exact Masses'!$Q$3+'AA Exact Masses'!$Q$3-'Mass Ion Calculations'!$C$22-'Mass Ion Calculations'!$C25)/2-'Mass Ion Calculations'!$D$5,('Mass Ion Calculations'!$F$15+'AA Exact Masses'!$Q$3+'AA Exact Masses'!$Q$3-'Mass Ion Calculations'!$E$22-'Mass Ion Calculations'!$E25)/2-'Mass Ion Calculations'!$D$5)))</f>
        <v/>
      </c>
      <c r="U24" s="3" t="str">
        <f>IF(OR($B24="",U$3=""),"",IF('Mass Ion Calculations'!$D$6="Yes",IF('Mass Ion Calculations'!$D$7="Yes",('Mass Ion Calculations'!$D$18+'AA Exact Masses'!$Q$3+'AA Exact Masses'!$Q$3-'Mass Ion Calculations'!$C$23-'Mass Ion Calculations'!$C25)/2-'Mass Ion Calculations'!$D$5,('Mass Ion Calculations'!$F$18+'AA Exact Masses'!$Q$3+'AA Exact Masses'!$Q$3-'Mass Ion Calculations'!$E$23-'Mass Ion Calculations'!$E25)/2-'Mass Ion Calculations'!$D$5),IF('Mass Ion Calculations'!$D$7="Yes", ('Mass Ion Calculations'!$D$15+'AA Exact Masses'!$Q$3+'AA Exact Masses'!$Q$3-'Mass Ion Calculations'!$C$23-'Mass Ion Calculations'!$C25)/2-'Mass Ion Calculations'!$D$5,('Mass Ion Calculations'!$F$15+'AA Exact Masses'!$Q$3+'AA Exact Masses'!$Q$3-'Mass Ion Calculations'!$E$23-'Mass Ion Calculations'!$E25)/2-'Mass Ion Calculations'!$D$5)))</f>
        <v/>
      </c>
      <c r="V24" s="3" t="str">
        <f>IF(OR($B24="",V$3=""),"",IF('Mass Ion Calculations'!$D$6="Yes",IF('Mass Ion Calculations'!$D$7="Yes",('Mass Ion Calculations'!$D$18+'AA Exact Masses'!$Q$3+'AA Exact Masses'!$Q$3-'Mass Ion Calculations'!$C$24-'Mass Ion Calculations'!$C25)/2-'Mass Ion Calculations'!$D$5,('Mass Ion Calculations'!$F$18+'AA Exact Masses'!$Q$3+'AA Exact Masses'!$Q$3-'Mass Ion Calculations'!$E$24-'Mass Ion Calculations'!$E25)/2-'Mass Ion Calculations'!$D$5),IF('Mass Ion Calculations'!$D$7="Yes", ('Mass Ion Calculations'!$D$15+'AA Exact Masses'!$Q$3+'AA Exact Masses'!$Q$3-'Mass Ion Calculations'!$C$24-'Mass Ion Calculations'!$C25)/2-'Mass Ion Calculations'!$D$5,('Mass Ion Calculations'!$F$15+'AA Exact Masses'!$Q$3+'AA Exact Masses'!$Q$3-'Mass Ion Calculations'!$E$24-'Mass Ion Calculations'!$E25)/2-'Mass Ion Calculations'!$D$5)))</f>
        <v/>
      </c>
      <c r="W24" s="3" t="str">
        <f>IF(OR($B24="",W$3=""),"",IF('Mass Ion Calculations'!$D$6="Yes",IF('Mass Ion Calculations'!$D$7="Yes",('Mass Ion Calculations'!$D$18+'AA Exact Masses'!$Q$3+'AA Exact Masses'!$Q$3-'Mass Ion Calculations'!$C$25-'Mass Ion Calculations'!$C25)/2-'Mass Ion Calculations'!$D$5,('Mass Ion Calculations'!$F$18+'AA Exact Masses'!$Q$3+'AA Exact Masses'!$Q$3-'Mass Ion Calculations'!$E$25-'Mass Ion Calculations'!$E25)/2-'Mass Ion Calculations'!$D$5),IF('Mass Ion Calculations'!$D$7="Yes", ('Mass Ion Calculations'!$D$15+'AA Exact Masses'!$Q$3+'AA Exact Masses'!$Q$3-'Mass Ion Calculations'!$C$25-'Mass Ion Calculations'!$C25)/2-'Mass Ion Calculations'!$D$5,('Mass Ion Calculations'!$F$15+'AA Exact Masses'!$Q$3+'AA Exact Masses'!$Q$3-'Mass Ion Calculations'!$E$25-'Mass Ion Calculations'!$E25)/2-'Mass Ion Calculations'!$D$5)))</f>
        <v/>
      </c>
      <c r="X24" s="3" t="str">
        <f>IF(OR($B24="",X$3=""),"",IF('Mass Ion Calculations'!$D$6="Yes",IF('Mass Ion Calculations'!$D$7="Yes",('Mass Ion Calculations'!$D$18+'AA Exact Masses'!$Q$3+'AA Exact Masses'!$Q$3-'Mass Ion Calculations'!$C$26-'Mass Ion Calculations'!$C25)/2-'Mass Ion Calculations'!$D$5,('Mass Ion Calculations'!$F$18+'AA Exact Masses'!$Q$3+'AA Exact Masses'!$Q$3-'Mass Ion Calculations'!$E$26-'Mass Ion Calculations'!$E25)/2-'Mass Ion Calculations'!$D$5),IF('Mass Ion Calculations'!$D$7="Yes", ('Mass Ion Calculations'!$D$15+'AA Exact Masses'!$Q$3+'AA Exact Masses'!$Q$3-'Mass Ion Calculations'!$C$26-'Mass Ion Calculations'!$C25)/2-'Mass Ion Calculations'!$D$5,('Mass Ion Calculations'!$F$15+'AA Exact Masses'!$Q$3+'AA Exact Masses'!$Q$3-'Mass Ion Calculations'!$E$26-'Mass Ion Calculations'!$E25)/2-'Mass Ion Calculations'!$D$5)))</f>
        <v/>
      </c>
      <c r="Y24" s="3" t="str">
        <f>IF(OR($B24="",Y$3=""),"",IF('Mass Ion Calculations'!$D$6="Yes",IF('Mass Ion Calculations'!$D$7="Yes",('Mass Ion Calculations'!$D$18+'AA Exact Masses'!$Q$3+'AA Exact Masses'!$Q$3-'Mass Ion Calculations'!$C$27-'Mass Ion Calculations'!$C25)/2-'Mass Ion Calculations'!$D$5,('Mass Ion Calculations'!$F$18+'AA Exact Masses'!$Q$3+'AA Exact Masses'!$Q$3-'Mass Ion Calculations'!$E$27-'Mass Ion Calculations'!$E25)/2-'Mass Ion Calculations'!$D$5),IF('Mass Ion Calculations'!$D$7="Yes", ('Mass Ion Calculations'!$D$15+'AA Exact Masses'!$Q$3+'AA Exact Masses'!$Q$3-'Mass Ion Calculations'!$C$27-'Mass Ion Calculations'!$C25)/2-'Mass Ion Calculations'!$D$5,('Mass Ion Calculations'!$F$15+'AA Exact Masses'!$Q$3+'AA Exact Masses'!$Q$3-'Mass Ion Calculations'!$E$27-'Mass Ion Calculations'!$E25)/2-'Mass Ion Calculations'!$D$5)))</f>
        <v/>
      </c>
      <c r="Z24" s="3" t="str">
        <f>IF(OR($B24="",Z$3=""),"",IF('Mass Ion Calculations'!$D$6="Yes",IF('Mass Ion Calculations'!$D$7="Yes",('Mass Ion Calculations'!$D$18+'AA Exact Masses'!$Q$3+'AA Exact Masses'!$Q$3-'Mass Ion Calculations'!$C$28-'Mass Ion Calculations'!$C25)/2-'Mass Ion Calculations'!$D$5,('Mass Ion Calculations'!$F$18+'AA Exact Masses'!$Q$3+'AA Exact Masses'!$Q$3-'Mass Ion Calculations'!$E$28-'Mass Ion Calculations'!$E25)/2-'Mass Ion Calculations'!$D$5),IF('Mass Ion Calculations'!$D$7="Yes", ('Mass Ion Calculations'!$D$15+'AA Exact Masses'!$Q$3+'AA Exact Masses'!$Q$3-'Mass Ion Calculations'!$C$28-'Mass Ion Calculations'!$C25)/2-'Mass Ion Calculations'!$D$5,('Mass Ion Calculations'!$F$15+'AA Exact Masses'!$Q$3+'AA Exact Masses'!$Q$3-'Mass Ion Calculations'!$E$28-'Mass Ion Calculations'!$E25)/2-'Mass Ion Calculations'!$D$5)))</f>
        <v/>
      </c>
    </row>
    <row r="25" spans="2:26" x14ac:dyDescent="0.25">
      <c r="B25" s="4" t="str">
        <f>IF('Mass Ion Calculations'!B26="","", 'Mass Ion Calculations'!B26)</f>
        <v/>
      </c>
      <c r="C25" s="3" t="str">
        <f>IF(OR($B25="",C$3=""),"",IF('Mass Ion Calculations'!$D$6="Yes",IF('Mass Ion Calculations'!$D$7="Yes",('Mass Ion Calculations'!$D$18+'AA Exact Masses'!$Q$3+'AA Exact Masses'!$Q$3-'Mass Ion Calculations'!$C$5-'Mass Ion Calculations'!$C26)/2-'Mass Ion Calculations'!$D$5,('Mass Ion Calculations'!$F$18+'AA Exact Masses'!$Q$3+'AA Exact Masses'!$Q$3-'Mass Ion Calculations'!$E$5-'Mass Ion Calculations'!$E26)/2-'Mass Ion Calculations'!$D$5),IF('Mass Ion Calculations'!$D$7="Yes", ('Mass Ion Calculations'!$D$15+'AA Exact Masses'!$Q$3+'AA Exact Masses'!$Q$3-'Mass Ion Calculations'!$C$5-'Mass Ion Calculations'!$C26)/2-'Mass Ion Calculations'!$D$5,('Mass Ion Calculations'!$F$15+'AA Exact Masses'!$Q$3+'AA Exact Masses'!$Q$3-'Mass Ion Calculations'!$E$5-'Mass Ion Calculations'!$E26)/2-'Mass Ion Calculations'!$D$5)))</f>
        <v/>
      </c>
      <c r="D25" s="3" t="str">
        <f>IF(OR($B25="",D$3=""),"",IF('Mass Ion Calculations'!$D$6="Yes",IF('Mass Ion Calculations'!$D$7="Yes",('Mass Ion Calculations'!$D$18+'AA Exact Masses'!$Q$3+'AA Exact Masses'!$Q$3-'Mass Ion Calculations'!$C$6-'Mass Ion Calculations'!$C26)/2-'Mass Ion Calculations'!$D$5,('Mass Ion Calculations'!$F$18+'AA Exact Masses'!$Q$3+'AA Exact Masses'!$Q$3-'Mass Ion Calculations'!$E$6-'Mass Ion Calculations'!$E26)/2-'Mass Ion Calculations'!$D$5),IF('Mass Ion Calculations'!$D$7="Yes", ('Mass Ion Calculations'!$D$15+'AA Exact Masses'!$Q$3+'AA Exact Masses'!$Q$3-'Mass Ion Calculations'!$C$6-'Mass Ion Calculations'!$C26)/2-'Mass Ion Calculations'!$D$5,('Mass Ion Calculations'!$F$15+'AA Exact Masses'!$Q$3+'AA Exact Masses'!$Q$3-'Mass Ion Calculations'!$E$6-'Mass Ion Calculations'!$E26)/2-'Mass Ion Calculations'!$D$5)))</f>
        <v/>
      </c>
      <c r="E25" s="3" t="str">
        <f>IF(OR($B25="",E$3=""),"",IF('Mass Ion Calculations'!$D$6="Yes",IF('Mass Ion Calculations'!$D$7="Yes",('Mass Ion Calculations'!$D$18+'AA Exact Masses'!$Q$3+'AA Exact Masses'!$Q$3-'Mass Ion Calculations'!$C$7-'Mass Ion Calculations'!$C26)/2-'Mass Ion Calculations'!$D$5,('Mass Ion Calculations'!$F$18+'AA Exact Masses'!$Q$3+'AA Exact Masses'!$Q$3-'Mass Ion Calculations'!$E$7-'Mass Ion Calculations'!$E26)/2-'Mass Ion Calculations'!$D$5),IF('Mass Ion Calculations'!$D$7="Yes", ('Mass Ion Calculations'!$D$15+'AA Exact Masses'!$Q$3+'AA Exact Masses'!$Q$3-'Mass Ion Calculations'!$C$7-'Mass Ion Calculations'!$C26)/2-'Mass Ion Calculations'!$D$5,('Mass Ion Calculations'!$F$15+'AA Exact Masses'!$Q$3+'AA Exact Masses'!$Q$3-'Mass Ion Calculations'!$E$7-'Mass Ion Calculations'!$E26)/2-'Mass Ion Calculations'!$D$5)))</f>
        <v/>
      </c>
      <c r="F25" s="3" t="str">
        <f>IF(OR($B25="",F$3=""),"",IF('Mass Ion Calculations'!$D$6="Yes",IF('Mass Ion Calculations'!$D$7="Yes",('Mass Ion Calculations'!$D$18+'AA Exact Masses'!$Q$3+'AA Exact Masses'!$Q$3-'Mass Ion Calculations'!$C$8-'Mass Ion Calculations'!$C26)/2-'Mass Ion Calculations'!$D$5,('Mass Ion Calculations'!$F$18+'AA Exact Masses'!$Q$3+'AA Exact Masses'!$Q$3-'Mass Ion Calculations'!$E$8-'Mass Ion Calculations'!$E26)/2-'Mass Ion Calculations'!$D$5),IF('Mass Ion Calculations'!$D$7="Yes", ('Mass Ion Calculations'!$D$15+'AA Exact Masses'!$Q$3+'AA Exact Masses'!$Q$3-'Mass Ion Calculations'!$C$8-'Mass Ion Calculations'!$C26)/2-'Mass Ion Calculations'!$D$5,('Mass Ion Calculations'!$F$15+'AA Exact Masses'!$Q$3+'AA Exact Masses'!$Q$3-'Mass Ion Calculations'!$E$8-'Mass Ion Calculations'!$E26)/2-'Mass Ion Calculations'!$D$5)))</f>
        <v/>
      </c>
      <c r="G25" s="3" t="str">
        <f>IF(OR($B25="",G$3=""),"",IF('Mass Ion Calculations'!$D$6="Yes",IF('Mass Ion Calculations'!$D$7="Yes",('Mass Ion Calculations'!$D$18+'AA Exact Masses'!$Q$3+'AA Exact Masses'!$Q$3-'Mass Ion Calculations'!$C$9-'Mass Ion Calculations'!$C26)/2-'Mass Ion Calculations'!$D$5,('Mass Ion Calculations'!$F$18+'AA Exact Masses'!$Q$3+'AA Exact Masses'!$Q$3-'Mass Ion Calculations'!$E$9-'Mass Ion Calculations'!$E26)/2-'Mass Ion Calculations'!$D$5),IF('Mass Ion Calculations'!$D$7="Yes", ('Mass Ion Calculations'!$D$15+'AA Exact Masses'!$Q$3+'AA Exact Masses'!$Q$3-'Mass Ion Calculations'!$C$9-'Mass Ion Calculations'!$C26)/2-'Mass Ion Calculations'!$D$5,('Mass Ion Calculations'!$F$15+'AA Exact Masses'!$Q$3+'AA Exact Masses'!$Q$3-'Mass Ion Calculations'!$E$9-'Mass Ion Calculations'!$E26)/2-'Mass Ion Calculations'!$D$5)))</f>
        <v/>
      </c>
      <c r="H25" s="3" t="str">
        <f>IF(OR($B25="",H$3=""),"",IF('Mass Ion Calculations'!$D$6="Yes",IF('Mass Ion Calculations'!$D$7="Yes",('Mass Ion Calculations'!$D$18+'AA Exact Masses'!$Q$3+'AA Exact Masses'!$Q$3-'Mass Ion Calculations'!$C$10-'Mass Ion Calculations'!$C26)/2-'Mass Ion Calculations'!$D$5,('Mass Ion Calculations'!$F$18+'AA Exact Masses'!$Q$3+'AA Exact Masses'!$Q$3-'Mass Ion Calculations'!$E$10-'Mass Ion Calculations'!$E26)/2-'Mass Ion Calculations'!$D$5),IF('Mass Ion Calculations'!$D$7="Yes", ('Mass Ion Calculations'!$D$15+'AA Exact Masses'!$Q$3+'AA Exact Masses'!$Q$3-'Mass Ion Calculations'!$C$10-'Mass Ion Calculations'!$C26)/2-'Mass Ion Calculations'!$D$5,('Mass Ion Calculations'!$F$15+'AA Exact Masses'!$Q$3+'AA Exact Masses'!$Q$3-'Mass Ion Calculations'!$E$10-'Mass Ion Calculations'!$E26)/2-'Mass Ion Calculations'!$D$5)))</f>
        <v/>
      </c>
      <c r="I25" s="3" t="str">
        <f>IF(OR($B25="",I$3=""),"",IF('Mass Ion Calculations'!$D$6="Yes",IF('Mass Ion Calculations'!$D$7="Yes",('Mass Ion Calculations'!$D$18+'AA Exact Masses'!$Q$3+'AA Exact Masses'!$Q$3-'Mass Ion Calculations'!$C$11-'Mass Ion Calculations'!$C26)/2-'Mass Ion Calculations'!$D$5,('Mass Ion Calculations'!$F$18+'AA Exact Masses'!$Q$3+'AA Exact Masses'!$Q$3-'Mass Ion Calculations'!$E$11-'Mass Ion Calculations'!$E26)/2-'Mass Ion Calculations'!$D$5),IF('Mass Ion Calculations'!$D$7="Yes", ('Mass Ion Calculations'!$D$15+'AA Exact Masses'!$Q$3+'AA Exact Masses'!$Q$3-'Mass Ion Calculations'!$C$11-'Mass Ion Calculations'!$C26)/2-'Mass Ion Calculations'!$D$5,('Mass Ion Calculations'!$F$15+'AA Exact Masses'!$Q$3+'AA Exact Masses'!$Q$3-'Mass Ion Calculations'!$E$11-'Mass Ion Calculations'!$E26)/2-'Mass Ion Calculations'!$D$5)))</f>
        <v/>
      </c>
      <c r="J25" s="3" t="str">
        <f>IF(OR($B25="",J$3=""),"",IF('Mass Ion Calculations'!$D$6="Yes",IF('Mass Ion Calculations'!$D$7="Yes",('Mass Ion Calculations'!$D$18+'AA Exact Masses'!$Q$3+'AA Exact Masses'!$Q$3-'Mass Ion Calculations'!$C$12-'Mass Ion Calculations'!$C26)/2-'Mass Ion Calculations'!$D$5,('Mass Ion Calculations'!$F$18+'AA Exact Masses'!$Q$3+'AA Exact Masses'!$Q$3-'Mass Ion Calculations'!$E$12-'Mass Ion Calculations'!$E26)/2-'Mass Ion Calculations'!$D$5),IF('Mass Ion Calculations'!$D$7="Yes", ('Mass Ion Calculations'!$D$15+'AA Exact Masses'!$Q$3+'AA Exact Masses'!$Q$3-'Mass Ion Calculations'!$C$12-'Mass Ion Calculations'!$C26)/2-'Mass Ion Calculations'!$D$5,('Mass Ion Calculations'!$F$15+'AA Exact Masses'!$Q$3+'AA Exact Masses'!$Q$3-'Mass Ion Calculations'!$E$12-'Mass Ion Calculations'!$E26)/2-'Mass Ion Calculations'!$D$5)))</f>
        <v/>
      </c>
      <c r="K25" s="3" t="str">
        <f>IF(OR($B25="",K$3=""),"",IF('Mass Ion Calculations'!$D$6="Yes",IF('Mass Ion Calculations'!$D$7="Yes",('Mass Ion Calculations'!$D$18+'AA Exact Masses'!$Q$3+'AA Exact Masses'!$Q$3-'Mass Ion Calculations'!$C$13-'Mass Ion Calculations'!$C26)/2-'Mass Ion Calculations'!$D$5,('Mass Ion Calculations'!$F$18+'AA Exact Masses'!$Q$3+'AA Exact Masses'!$Q$3-'Mass Ion Calculations'!$E$13-'Mass Ion Calculations'!$E26)/2-'Mass Ion Calculations'!$D$5),IF('Mass Ion Calculations'!$D$7="Yes", ('Mass Ion Calculations'!$D$15+'AA Exact Masses'!$Q$3+'AA Exact Masses'!$Q$3-'Mass Ion Calculations'!$C$13-'Mass Ion Calculations'!$C26)/2-'Mass Ion Calculations'!$D$5,('Mass Ion Calculations'!$F$15+'AA Exact Masses'!$Q$3+'AA Exact Masses'!$Q$3-'Mass Ion Calculations'!$E$13-'Mass Ion Calculations'!$E26)/2-'Mass Ion Calculations'!$D$5)))</f>
        <v/>
      </c>
      <c r="L25" s="3" t="str">
        <f>IF(OR($B25="",L$3=""),"",IF('Mass Ion Calculations'!$D$6="Yes",IF('Mass Ion Calculations'!$D$7="Yes",('Mass Ion Calculations'!$D$18+'AA Exact Masses'!$Q$3+'AA Exact Masses'!$Q$3-'Mass Ion Calculations'!$C$14-'Mass Ion Calculations'!$C26)/2-'Mass Ion Calculations'!$D$5,('Mass Ion Calculations'!$F$18+'AA Exact Masses'!$Q$3+'AA Exact Masses'!$Q$3-'Mass Ion Calculations'!$E$14-'Mass Ion Calculations'!$E26)/2-'Mass Ion Calculations'!$D$5),IF('Mass Ion Calculations'!$D$7="Yes", ('Mass Ion Calculations'!$D$15+'AA Exact Masses'!$Q$3+'AA Exact Masses'!$Q$3-'Mass Ion Calculations'!$C$14-'Mass Ion Calculations'!$C26)/2-'Mass Ion Calculations'!$D$5,('Mass Ion Calculations'!$F$15+'AA Exact Masses'!$Q$3+'AA Exact Masses'!$Q$3-'Mass Ion Calculations'!$E$14-'Mass Ion Calculations'!$E26)/2-'Mass Ion Calculations'!$D$5)))</f>
        <v/>
      </c>
      <c r="M25" s="3" t="str">
        <f>IF(OR($B25="",M$3=""),"",IF('Mass Ion Calculations'!$D$6="Yes",IF('Mass Ion Calculations'!$D$7="Yes",('Mass Ion Calculations'!$D$18+'AA Exact Masses'!$Q$3+'AA Exact Masses'!$Q$3-'Mass Ion Calculations'!$C$15-'Mass Ion Calculations'!$C26)/2-'Mass Ion Calculations'!$D$5,('Mass Ion Calculations'!$F$18+'AA Exact Masses'!$Q$3+'AA Exact Masses'!$Q$3-'Mass Ion Calculations'!$E$15-'Mass Ion Calculations'!$E26)/2-'Mass Ion Calculations'!$D$5),IF('Mass Ion Calculations'!$D$7="Yes", ('Mass Ion Calculations'!$D$15+'AA Exact Masses'!$Q$3+'AA Exact Masses'!$Q$3-'Mass Ion Calculations'!$C$15-'Mass Ion Calculations'!$C26)/2-'Mass Ion Calculations'!$D$5,('Mass Ion Calculations'!$F$15+'AA Exact Masses'!$Q$3+'AA Exact Masses'!$Q$3-'Mass Ion Calculations'!$E$15-'Mass Ion Calculations'!$E26)/2-'Mass Ion Calculations'!$D$5)))</f>
        <v/>
      </c>
      <c r="N25" s="3" t="str">
        <f>IF(OR($B25="",N$3=""),"",IF('Mass Ion Calculations'!$D$6="Yes",IF('Mass Ion Calculations'!$D$7="Yes",('Mass Ion Calculations'!$D$18+'AA Exact Masses'!$Q$3+'AA Exact Masses'!$Q$3-'Mass Ion Calculations'!$C$16-'Mass Ion Calculations'!$C26)/2-'Mass Ion Calculations'!$D$5,('Mass Ion Calculations'!$F$18+'AA Exact Masses'!$Q$3+'AA Exact Masses'!$Q$3-'Mass Ion Calculations'!$E$16-'Mass Ion Calculations'!$E26)/2-'Mass Ion Calculations'!$D$5),IF('Mass Ion Calculations'!$D$7="Yes", ('Mass Ion Calculations'!$D$15+'AA Exact Masses'!$Q$3+'AA Exact Masses'!$Q$3-'Mass Ion Calculations'!$C$16-'Mass Ion Calculations'!$C26)/2-'Mass Ion Calculations'!$D$5,('Mass Ion Calculations'!$F$15+'AA Exact Masses'!$Q$3+'AA Exact Masses'!$Q$3-'Mass Ion Calculations'!$E$16-'Mass Ion Calculations'!$E26)/2-'Mass Ion Calculations'!$D$5)))</f>
        <v/>
      </c>
      <c r="O25" s="3" t="str">
        <f>IF(OR($B25="",O$3=""),"",IF('Mass Ion Calculations'!$D$6="Yes",IF('Mass Ion Calculations'!$D$7="Yes",('Mass Ion Calculations'!$D$18+'AA Exact Masses'!$Q$3+'AA Exact Masses'!$Q$3-'Mass Ion Calculations'!$C$17-'Mass Ion Calculations'!$C26)/2-'Mass Ion Calculations'!$D$5,('Mass Ion Calculations'!$F$18+'AA Exact Masses'!$Q$3+'AA Exact Masses'!$Q$3-'Mass Ion Calculations'!$E$17-'Mass Ion Calculations'!$E26)/2-'Mass Ion Calculations'!$D$5),IF('Mass Ion Calculations'!$D$7="Yes", ('Mass Ion Calculations'!$D$15+'AA Exact Masses'!$Q$3+'AA Exact Masses'!$Q$3-'Mass Ion Calculations'!$C$17-'Mass Ion Calculations'!$C26)/2-'Mass Ion Calculations'!$D$5,('Mass Ion Calculations'!$F$15+'AA Exact Masses'!$Q$3+'AA Exact Masses'!$Q$3-'Mass Ion Calculations'!$E$17-'Mass Ion Calculations'!$E26)/2-'Mass Ion Calculations'!$D$5)))</f>
        <v/>
      </c>
      <c r="P25" s="3" t="str">
        <f>IF(OR($B25="",P$3=""),"",IF('Mass Ion Calculations'!$D$6="Yes",IF('Mass Ion Calculations'!$D$7="Yes",('Mass Ion Calculations'!$D$18+'AA Exact Masses'!$Q$3+'AA Exact Masses'!$Q$3-'Mass Ion Calculations'!$C$18-'Mass Ion Calculations'!$C26)/2-'Mass Ion Calculations'!$D$5,('Mass Ion Calculations'!$F$18+'AA Exact Masses'!$Q$3+'AA Exact Masses'!$Q$3-'Mass Ion Calculations'!$E$18-'Mass Ion Calculations'!$E26)/2-'Mass Ion Calculations'!$D$5),IF('Mass Ion Calculations'!$D$7="Yes", ('Mass Ion Calculations'!$D$15+'AA Exact Masses'!$Q$3+'AA Exact Masses'!$Q$3-'Mass Ion Calculations'!$C$18-'Mass Ion Calculations'!$C26)/2-'Mass Ion Calculations'!$D$5,('Mass Ion Calculations'!$F$15+'AA Exact Masses'!$Q$3+'AA Exact Masses'!$Q$3-'Mass Ion Calculations'!$E$18-'Mass Ion Calculations'!$E26)/2-'Mass Ion Calculations'!$D$5)))</f>
        <v/>
      </c>
      <c r="Q25" s="3" t="str">
        <f>IF(OR($B25="",Q$3=""),"",IF('Mass Ion Calculations'!$D$6="Yes",IF('Mass Ion Calculations'!$D$7="Yes",('Mass Ion Calculations'!$D$18+'AA Exact Masses'!$Q$3+'AA Exact Masses'!$Q$3-'Mass Ion Calculations'!$C$19-'Mass Ion Calculations'!$C26)/2-'Mass Ion Calculations'!$D$5,('Mass Ion Calculations'!$F$18+'AA Exact Masses'!$Q$3+'AA Exact Masses'!$Q$3-'Mass Ion Calculations'!$E$19-'Mass Ion Calculations'!$E26)/2-'Mass Ion Calculations'!$D$5),IF('Mass Ion Calculations'!$D$7="Yes", ('Mass Ion Calculations'!$D$15+'AA Exact Masses'!$Q$3+'AA Exact Masses'!$Q$3-'Mass Ion Calculations'!$C$19-'Mass Ion Calculations'!$C26)/2-'Mass Ion Calculations'!$D$5,('Mass Ion Calculations'!$F$15+'AA Exact Masses'!$Q$3+'AA Exact Masses'!$Q$3-'Mass Ion Calculations'!$E$19-'Mass Ion Calculations'!$E26)/2-'Mass Ion Calculations'!$D$5)))</f>
        <v/>
      </c>
      <c r="R25" s="3" t="str">
        <f>IF(OR($B25="",R$3=""),"",IF('Mass Ion Calculations'!$D$6="Yes",IF('Mass Ion Calculations'!$D$7="Yes",('Mass Ion Calculations'!$D$18+'AA Exact Masses'!$Q$3+'AA Exact Masses'!$Q$3-'Mass Ion Calculations'!$C$20-'Mass Ion Calculations'!$C26)/2-'Mass Ion Calculations'!$D$5,('Mass Ion Calculations'!$F$18+'AA Exact Masses'!$Q$3+'AA Exact Masses'!$Q$3-'Mass Ion Calculations'!$E$20-'Mass Ion Calculations'!$E26)/2-'Mass Ion Calculations'!$D$5),IF('Mass Ion Calculations'!$D$7="Yes", ('Mass Ion Calculations'!$D$15+'AA Exact Masses'!$Q$3+'AA Exact Masses'!$Q$3-'Mass Ion Calculations'!$C$20-'Mass Ion Calculations'!$C26)/2-'Mass Ion Calculations'!$D$5,('Mass Ion Calculations'!$F$15+'AA Exact Masses'!$Q$3+'AA Exact Masses'!$Q$3-'Mass Ion Calculations'!$E$20-'Mass Ion Calculations'!$E26)/2-'Mass Ion Calculations'!$D$5)))</f>
        <v/>
      </c>
      <c r="S25" s="3" t="str">
        <f>IF(OR($B25="",S$3=""),"",IF('Mass Ion Calculations'!$D$6="Yes",IF('Mass Ion Calculations'!$D$7="Yes",('Mass Ion Calculations'!$D$18+'AA Exact Masses'!$Q$3+'AA Exact Masses'!$Q$3-'Mass Ion Calculations'!$C$21-'Mass Ion Calculations'!$C26)/2-'Mass Ion Calculations'!$D$5,('Mass Ion Calculations'!$F$18+'AA Exact Masses'!$Q$3+'AA Exact Masses'!$Q$3-'Mass Ion Calculations'!$E$21-'Mass Ion Calculations'!$E26)/2-'Mass Ion Calculations'!$D$5),IF('Mass Ion Calculations'!$D$7="Yes", ('Mass Ion Calculations'!$D$15+'AA Exact Masses'!$Q$3+'AA Exact Masses'!$Q$3-'Mass Ion Calculations'!$C$21-'Mass Ion Calculations'!$C26)/2-'Mass Ion Calculations'!$D$5,('Mass Ion Calculations'!$F$15+'AA Exact Masses'!$Q$3+'AA Exact Masses'!$Q$3-'Mass Ion Calculations'!$E$21-'Mass Ion Calculations'!$E26)/2-'Mass Ion Calculations'!$D$5)))</f>
        <v/>
      </c>
      <c r="T25" s="3" t="str">
        <f>IF(OR($B25="",T$3=""),"",IF('Mass Ion Calculations'!$D$6="Yes",IF('Mass Ion Calculations'!$D$7="Yes",('Mass Ion Calculations'!$D$18+'AA Exact Masses'!$Q$3+'AA Exact Masses'!$Q$3-'Mass Ion Calculations'!$C$22-'Mass Ion Calculations'!$C26)/2-'Mass Ion Calculations'!$D$5,('Mass Ion Calculations'!$F$18+'AA Exact Masses'!$Q$3+'AA Exact Masses'!$Q$3-'Mass Ion Calculations'!$E$22-'Mass Ion Calculations'!$E26)/2-'Mass Ion Calculations'!$D$5),IF('Mass Ion Calculations'!$D$7="Yes", ('Mass Ion Calculations'!$D$15+'AA Exact Masses'!$Q$3+'AA Exact Masses'!$Q$3-'Mass Ion Calculations'!$C$22-'Mass Ion Calculations'!$C26)/2-'Mass Ion Calculations'!$D$5,('Mass Ion Calculations'!$F$15+'AA Exact Masses'!$Q$3+'AA Exact Masses'!$Q$3-'Mass Ion Calculations'!$E$22-'Mass Ion Calculations'!$E26)/2-'Mass Ion Calculations'!$D$5)))</f>
        <v/>
      </c>
      <c r="U25" s="3" t="str">
        <f>IF(OR($B25="",U$3=""),"",IF('Mass Ion Calculations'!$D$6="Yes",IF('Mass Ion Calculations'!$D$7="Yes",('Mass Ion Calculations'!$D$18+'AA Exact Masses'!$Q$3+'AA Exact Masses'!$Q$3-'Mass Ion Calculations'!$C$23-'Mass Ion Calculations'!$C26)/2-'Mass Ion Calculations'!$D$5,('Mass Ion Calculations'!$F$18+'AA Exact Masses'!$Q$3+'AA Exact Masses'!$Q$3-'Mass Ion Calculations'!$E$23-'Mass Ion Calculations'!$E26)/2-'Mass Ion Calculations'!$D$5),IF('Mass Ion Calculations'!$D$7="Yes", ('Mass Ion Calculations'!$D$15+'AA Exact Masses'!$Q$3+'AA Exact Masses'!$Q$3-'Mass Ion Calculations'!$C$23-'Mass Ion Calculations'!$C26)/2-'Mass Ion Calculations'!$D$5,('Mass Ion Calculations'!$F$15+'AA Exact Masses'!$Q$3+'AA Exact Masses'!$Q$3-'Mass Ion Calculations'!$E$23-'Mass Ion Calculations'!$E26)/2-'Mass Ion Calculations'!$D$5)))</f>
        <v/>
      </c>
      <c r="V25" s="3" t="str">
        <f>IF(OR($B25="",V$3=""),"",IF('Mass Ion Calculations'!$D$6="Yes",IF('Mass Ion Calculations'!$D$7="Yes",('Mass Ion Calculations'!$D$18+'AA Exact Masses'!$Q$3+'AA Exact Masses'!$Q$3-'Mass Ion Calculations'!$C$24-'Mass Ion Calculations'!$C26)/2-'Mass Ion Calculations'!$D$5,('Mass Ion Calculations'!$F$18+'AA Exact Masses'!$Q$3+'AA Exact Masses'!$Q$3-'Mass Ion Calculations'!$E$24-'Mass Ion Calculations'!$E26)/2-'Mass Ion Calculations'!$D$5),IF('Mass Ion Calculations'!$D$7="Yes", ('Mass Ion Calculations'!$D$15+'AA Exact Masses'!$Q$3+'AA Exact Masses'!$Q$3-'Mass Ion Calculations'!$C$24-'Mass Ion Calculations'!$C26)/2-'Mass Ion Calculations'!$D$5,('Mass Ion Calculations'!$F$15+'AA Exact Masses'!$Q$3+'AA Exact Masses'!$Q$3-'Mass Ion Calculations'!$E$24-'Mass Ion Calculations'!$E26)/2-'Mass Ion Calculations'!$D$5)))</f>
        <v/>
      </c>
      <c r="W25" s="3" t="str">
        <f>IF(OR($B25="",W$3=""),"",IF('Mass Ion Calculations'!$D$6="Yes",IF('Mass Ion Calculations'!$D$7="Yes",('Mass Ion Calculations'!$D$18+'AA Exact Masses'!$Q$3+'AA Exact Masses'!$Q$3-'Mass Ion Calculations'!$C$25-'Mass Ion Calculations'!$C26)/2-'Mass Ion Calculations'!$D$5,('Mass Ion Calculations'!$F$18+'AA Exact Masses'!$Q$3+'AA Exact Masses'!$Q$3-'Mass Ion Calculations'!$E$25-'Mass Ion Calculations'!$E26)/2-'Mass Ion Calculations'!$D$5),IF('Mass Ion Calculations'!$D$7="Yes", ('Mass Ion Calculations'!$D$15+'AA Exact Masses'!$Q$3+'AA Exact Masses'!$Q$3-'Mass Ion Calculations'!$C$25-'Mass Ion Calculations'!$C26)/2-'Mass Ion Calculations'!$D$5,('Mass Ion Calculations'!$F$15+'AA Exact Masses'!$Q$3+'AA Exact Masses'!$Q$3-'Mass Ion Calculations'!$E$25-'Mass Ion Calculations'!$E26)/2-'Mass Ion Calculations'!$D$5)))</f>
        <v/>
      </c>
      <c r="X25" s="3" t="str">
        <f>IF(OR($B25="",X$3=""),"",IF('Mass Ion Calculations'!$D$6="Yes",IF('Mass Ion Calculations'!$D$7="Yes",('Mass Ion Calculations'!$D$18+'AA Exact Masses'!$Q$3+'AA Exact Masses'!$Q$3-'Mass Ion Calculations'!$C$26-'Mass Ion Calculations'!$C26)/2-'Mass Ion Calculations'!$D$5,('Mass Ion Calculations'!$F$18+'AA Exact Masses'!$Q$3+'AA Exact Masses'!$Q$3-'Mass Ion Calculations'!$E$26-'Mass Ion Calculations'!$E26)/2-'Mass Ion Calculations'!$D$5),IF('Mass Ion Calculations'!$D$7="Yes", ('Mass Ion Calculations'!$D$15+'AA Exact Masses'!$Q$3+'AA Exact Masses'!$Q$3-'Mass Ion Calculations'!$C$26-'Mass Ion Calculations'!$C26)/2-'Mass Ion Calculations'!$D$5,('Mass Ion Calculations'!$F$15+'AA Exact Masses'!$Q$3+'AA Exact Masses'!$Q$3-'Mass Ion Calculations'!$E$26-'Mass Ion Calculations'!$E26)/2-'Mass Ion Calculations'!$D$5)))</f>
        <v/>
      </c>
      <c r="Y25" s="3" t="str">
        <f>IF(OR($B25="",Y$3=""),"",IF('Mass Ion Calculations'!$D$6="Yes",IF('Mass Ion Calculations'!$D$7="Yes",('Mass Ion Calculations'!$D$18+'AA Exact Masses'!$Q$3+'AA Exact Masses'!$Q$3-'Mass Ion Calculations'!$C$27-'Mass Ion Calculations'!$C26)/2-'Mass Ion Calculations'!$D$5,('Mass Ion Calculations'!$F$18+'AA Exact Masses'!$Q$3+'AA Exact Masses'!$Q$3-'Mass Ion Calculations'!$E$27-'Mass Ion Calculations'!$E26)/2-'Mass Ion Calculations'!$D$5),IF('Mass Ion Calculations'!$D$7="Yes", ('Mass Ion Calculations'!$D$15+'AA Exact Masses'!$Q$3+'AA Exact Masses'!$Q$3-'Mass Ion Calculations'!$C$27-'Mass Ion Calculations'!$C26)/2-'Mass Ion Calculations'!$D$5,('Mass Ion Calculations'!$F$15+'AA Exact Masses'!$Q$3+'AA Exact Masses'!$Q$3-'Mass Ion Calculations'!$E$27-'Mass Ion Calculations'!$E26)/2-'Mass Ion Calculations'!$D$5)))</f>
        <v/>
      </c>
      <c r="Z25" s="3" t="str">
        <f>IF(OR($B25="",Z$3=""),"",IF('Mass Ion Calculations'!$D$6="Yes",IF('Mass Ion Calculations'!$D$7="Yes",('Mass Ion Calculations'!$D$18+'AA Exact Masses'!$Q$3+'AA Exact Masses'!$Q$3-'Mass Ion Calculations'!$C$28-'Mass Ion Calculations'!$C26)/2-'Mass Ion Calculations'!$D$5,('Mass Ion Calculations'!$F$18+'AA Exact Masses'!$Q$3+'AA Exact Masses'!$Q$3-'Mass Ion Calculations'!$E$28-'Mass Ion Calculations'!$E26)/2-'Mass Ion Calculations'!$D$5),IF('Mass Ion Calculations'!$D$7="Yes", ('Mass Ion Calculations'!$D$15+'AA Exact Masses'!$Q$3+'AA Exact Masses'!$Q$3-'Mass Ion Calculations'!$C$28-'Mass Ion Calculations'!$C26)/2-'Mass Ion Calculations'!$D$5,('Mass Ion Calculations'!$F$15+'AA Exact Masses'!$Q$3+'AA Exact Masses'!$Q$3-'Mass Ion Calculations'!$E$28-'Mass Ion Calculations'!$E26)/2-'Mass Ion Calculations'!$D$5)))</f>
        <v/>
      </c>
    </row>
    <row r="26" spans="2:26" x14ac:dyDescent="0.25">
      <c r="C26" s="3" t="str">
        <f>IF(OR($B26="",C$3=""),"",IF('Mass Ion Calculations'!$D$6="Yes",IF('Mass Ion Calculations'!$D$7="Yes",('Mass Ion Calculations'!$D$18+'AA Exact Masses'!$Q$3+'AA Exact Masses'!$Q$3-'Mass Ion Calculations'!$C$5-'Mass Ion Calculations'!$C27)/2-'Mass Ion Calculations'!$D$5,('Mass Ion Calculations'!$F$18+'AA Exact Masses'!$Q$3+'AA Exact Masses'!$Q$3-'Mass Ion Calculations'!$E$5-'Mass Ion Calculations'!$E27)/2-'Mass Ion Calculations'!$D$5),IF('Mass Ion Calculations'!$D$7="Yes", ('Mass Ion Calculations'!$D$15+'AA Exact Masses'!$Q$3+'AA Exact Masses'!$Q$3-'Mass Ion Calculations'!$C$5-'Mass Ion Calculations'!$C27)/2-'Mass Ion Calculations'!$D$5,('Mass Ion Calculations'!$F$15+'AA Exact Masses'!$Q$3+'AA Exact Masses'!$Q$3-'Mass Ion Calculations'!$E$5-'Mass Ion Calculations'!$E27)/2-'Mass Ion Calculations'!$D$5)))</f>
        <v/>
      </c>
      <c r="D26" s="3" t="str">
        <f>IF(OR($B26="",D$3=""),"",IF('Mass Ion Calculations'!$D$6="Yes",IF('Mass Ion Calculations'!$D$7="Yes",('Mass Ion Calculations'!$D$18+'AA Exact Masses'!$Q$3+'AA Exact Masses'!$Q$3-'Mass Ion Calculations'!$C$6-'Mass Ion Calculations'!$C27)/2-'Mass Ion Calculations'!$D$5,('Mass Ion Calculations'!$F$18+'AA Exact Masses'!$Q$3+'AA Exact Masses'!$Q$3-'Mass Ion Calculations'!$E$6-'Mass Ion Calculations'!$E27)/2-'Mass Ion Calculations'!$D$5),IF('Mass Ion Calculations'!$D$7="Yes", ('Mass Ion Calculations'!$D$15+'AA Exact Masses'!$Q$3+'AA Exact Masses'!$Q$3-'Mass Ion Calculations'!$C$6-'Mass Ion Calculations'!$C27)/2-'Mass Ion Calculations'!$D$5,('Mass Ion Calculations'!$F$15+'AA Exact Masses'!$Q$3+'AA Exact Masses'!$Q$3-'Mass Ion Calculations'!$E$6-'Mass Ion Calculations'!$E27)/2-'Mass Ion Calculations'!$D$5)))</f>
        <v/>
      </c>
      <c r="E26" s="3" t="str">
        <f>IF(OR($B26="",E$3=""),"",IF('Mass Ion Calculations'!$D$6="Yes",IF('Mass Ion Calculations'!$D$7="Yes",('Mass Ion Calculations'!$D$18+'AA Exact Masses'!$Q$3+'AA Exact Masses'!$Q$3-'Mass Ion Calculations'!$C$7-'Mass Ion Calculations'!$C27)/2-'Mass Ion Calculations'!$D$5,('Mass Ion Calculations'!$F$18+'AA Exact Masses'!$Q$3+'AA Exact Masses'!$Q$3-'Mass Ion Calculations'!$E$7-'Mass Ion Calculations'!$E27)/2-'Mass Ion Calculations'!$D$5),IF('Mass Ion Calculations'!$D$7="Yes", ('Mass Ion Calculations'!$D$15+'AA Exact Masses'!$Q$3+'AA Exact Masses'!$Q$3-'Mass Ion Calculations'!$C$7-'Mass Ion Calculations'!$C27)/2-'Mass Ion Calculations'!$D$5,('Mass Ion Calculations'!$F$15+'AA Exact Masses'!$Q$3+'AA Exact Masses'!$Q$3-'Mass Ion Calculations'!$E$7-'Mass Ion Calculations'!$E27)/2-'Mass Ion Calculations'!$D$5)))</f>
        <v/>
      </c>
      <c r="F26" s="3" t="str">
        <f>IF(OR($B26="",F$3=""),"",IF('Mass Ion Calculations'!$D$6="Yes",IF('Mass Ion Calculations'!$D$7="Yes",('Mass Ion Calculations'!$D$18+'AA Exact Masses'!$Q$3+'AA Exact Masses'!$Q$3-'Mass Ion Calculations'!$C$8-'Mass Ion Calculations'!$C27)/2-'Mass Ion Calculations'!$D$5,('Mass Ion Calculations'!$F$18+'AA Exact Masses'!$Q$3+'AA Exact Masses'!$Q$3-'Mass Ion Calculations'!$E$8-'Mass Ion Calculations'!$E27)/2-'Mass Ion Calculations'!$D$5),IF('Mass Ion Calculations'!$D$7="Yes", ('Mass Ion Calculations'!$D$15+'AA Exact Masses'!$Q$3+'AA Exact Masses'!$Q$3-'Mass Ion Calculations'!$C$8-'Mass Ion Calculations'!$C27)/2-'Mass Ion Calculations'!$D$5,('Mass Ion Calculations'!$F$15+'AA Exact Masses'!$Q$3+'AA Exact Masses'!$Q$3-'Mass Ion Calculations'!$E$8-'Mass Ion Calculations'!$E27)/2-'Mass Ion Calculations'!$D$5)))</f>
        <v/>
      </c>
      <c r="G26" s="3" t="str">
        <f>IF(OR($B26="",G$3=""),"",IF('Mass Ion Calculations'!$D$6="Yes",IF('Mass Ion Calculations'!$D$7="Yes",('Mass Ion Calculations'!$D$18+'AA Exact Masses'!$Q$3+'AA Exact Masses'!$Q$3-'Mass Ion Calculations'!$C$9-'Mass Ion Calculations'!$C27)/2-'Mass Ion Calculations'!$D$5,('Mass Ion Calculations'!$F$18+'AA Exact Masses'!$Q$3+'AA Exact Masses'!$Q$3-'Mass Ion Calculations'!$E$9-'Mass Ion Calculations'!$E27)/2-'Mass Ion Calculations'!$D$5),IF('Mass Ion Calculations'!$D$7="Yes", ('Mass Ion Calculations'!$D$15+'AA Exact Masses'!$Q$3+'AA Exact Masses'!$Q$3-'Mass Ion Calculations'!$C$9-'Mass Ion Calculations'!$C27)/2-'Mass Ion Calculations'!$D$5,('Mass Ion Calculations'!$F$15+'AA Exact Masses'!$Q$3+'AA Exact Masses'!$Q$3-'Mass Ion Calculations'!$E$9-'Mass Ion Calculations'!$E27)/2-'Mass Ion Calculations'!$D$5)))</f>
        <v/>
      </c>
      <c r="H26" s="3" t="str">
        <f>IF(OR($B26="",H$3=""),"",IF('Mass Ion Calculations'!$D$6="Yes",IF('Mass Ion Calculations'!$D$7="Yes",('Mass Ion Calculations'!$D$18+'AA Exact Masses'!$Q$3+'AA Exact Masses'!$Q$3-'Mass Ion Calculations'!$C$10-'Mass Ion Calculations'!$C27)/2-'Mass Ion Calculations'!$D$5,('Mass Ion Calculations'!$F$18+'AA Exact Masses'!$Q$3+'AA Exact Masses'!$Q$3-'Mass Ion Calculations'!$E$10-'Mass Ion Calculations'!$E27)/2-'Mass Ion Calculations'!$D$5),IF('Mass Ion Calculations'!$D$7="Yes", ('Mass Ion Calculations'!$D$15+'AA Exact Masses'!$Q$3+'AA Exact Masses'!$Q$3-'Mass Ion Calculations'!$C$10-'Mass Ion Calculations'!$C27)/2-'Mass Ion Calculations'!$D$5,('Mass Ion Calculations'!$F$15+'AA Exact Masses'!$Q$3+'AA Exact Masses'!$Q$3-'Mass Ion Calculations'!$E$10-'Mass Ion Calculations'!$E27)/2-'Mass Ion Calculations'!$D$5)))</f>
        <v/>
      </c>
      <c r="I26" s="3" t="str">
        <f>IF(OR($B26="",I$3=""),"",IF('Mass Ion Calculations'!$D$6="Yes",IF('Mass Ion Calculations'!$D$7="Yes",('Mass Ion Calculations'!$D$18+'AA Exact Masses'!$Q$3+'AA Exact Masses'!$Q$3-'Mass Ion Calculations'!$C$11-'Mass Ion Calculations'!$C27)/2-'Mass Ion Calculations'!$D$5,('Mass Ion Calculations'!$F$18+'AA Exact Masses'!$Q$3+'AA Exact Masses'!$Q$3-'Mass Ion Calculations'!$E$11-'Mass Ion Calculations'!$E27)/2-'Mass Ion Calculations'!$D$5),IF('Mass Ion Calculations'!$D$7="Yes", ('Mass Ion Calculations'!$D$15+'AA Exact Masses'!$Q$3+'AA Exact Masses'!$Q$3-'Mass Ion Calculations'!$C$11-'Mass Ion Calculations'!$C27)/2-'Mass Ion Calculations'!$D$5,('Mass Ion Calculations'!$F$15+'AA Exact Masses'!$Q$3+'AA Exact Masses'!$Q$3-'Mass Ion Calculations'!$E$11-'Mass Ion Calculations'!$E27)/2-'Mass Ion Calculations'!$D$5)))</f>
        <v/>
      </c>
      <c r="J26" s="3" t="str">
        <f>IF(OR($B26="",J$3=""),"",IF('Mass Ion Calculations'!$D$6="Yes",IF('Mass Ion Calculations'!$D$7="Yes",('Mass Ion Calculations'!$D$18+'AA Exact Masses'!$Q$3+'AA Exact Masses'!$Q$3-'Mass Ion Calculations'!$C$12-'Mass Ion Calculations'!$C27)/2-'Mass Ion Calculations'!$D$5,('Mass Ion Calculations'!$F$18+'AA Exact Masses'!$Q$3+'AA Exact Masses'!$Q$3-'Mass Ion Calculations'!$E$12-'Mass Ion Calculations'!$E27)/2-'Mass Ion Calculations'!$D$5),IF('Mass Ion Calculations'!$D$7="Yes", ('Mass Ion Calculations'!$D$15+'AA Exact Masses'!$Q$3+'AA Exact Masses'!$Q$3-'Mass Ion Calculations'!$C$12-'Mass Ion Calculations'!$C27)/2-'Mass Ion Calculations'!$D$5,('Mass Ion Calculations'!$F$15+'AA Exact Masses'!$Q$3+'AA Exact Masses'!$Q$3-'Mass Ion Calculations'!$E$12-'Mass Ion Calculations'!$E27)/2-'Mass Ion Calculations'!$D$5)))</f>
        <v/>
      </c>
      <c r="K26" s="3" t="str">
        <f>IF(OR($B26="",K$3=""),"",IF('Mass Ion Calculations'!$D$6="Yes",IF('Mass Ion Calculations'!$D$7="Yes",('Mass Ion Calculations'!$D$18+'AA Exact Masses'!$Q$3+'AA Exact Masses'!$Q$3-'Mass Ion Calculations'!$C$13-'Mass Ion Calculations'!$C27)/2-'Mass Ion Calculations'!$D$5,('Mass Ion Calculations'!$F$18+'AA Exact Masses'!$Q$3+'AA Exact Masses'!$Q$3-'Mass Ion Calculations'!$E$13-'Mass Ion Calculations'!$E27)/2-'Mass Ion Calculations'!$D$5),IF('Mass Ion Calculations'!$D$7="Yes", ('Mass Ion Calculations'!$D$15+'AA Exact Masses'!$Q$3+'AA Exact Masses'!$Q$3-'Mass Ion Calculations'!$C$13-'Mass Ion Calculations'!$C27)/2-'Mass Ion Calculations'!$D$5,('Mass Ion Calculations'!$F$15+'AA Exact Masses'!$Q$3+'AA Exact Masses'!$Q$3-'Mass Ion Calculations'!$E$13-'Mass Ion Calculations'!$E27)/2-'Mass Ion Calculations'!$D$5)))</f>
        <v/>
      </c>
      <c r="L26" s="3" t="str">
        <f>IF(OR($B26="",L$3=""),"",IF('Mass Ion Calculations'!$D$6="Yes",IF('Mass Ion Calculations'!$D$7="Yes",('Mass Ion Calculations'!$D$18+'AA Exact Masses'!$Q$3+'AA Exact Masses'!$Q$3-'Mass Ion Calculations'!$C$14-'Mass Ion Calculations'!$C27)/2-'Mass Ion Calculations'!$D$5,('Mass Ion Calculations'!$F$18+'AA Exact Masses'!$Q$3+'AA Exact Masses'!$Q$3-'Mass Ion Calculations'!$E$14-'Mass Ion Calculations'!$E27)/2-'Mass Ion Calculations'!$D$5),IF('Mass Ion Calculations'!$D$7="Yes", ('Mass Ion Calculations'!$D$15+'AA Exact Masses'!$Q$3+'AA Exact Masses'!$Q$3-'Mass Ion Calculations'!$C$14-'Mass Ion Calculations'!$C27)/2-'Mass Ion Calculations'!$D$5,('Mass Ion Calculations'!$F$15+'AA Exact Masses'!$Q$3+'AA Exact Masses'!$Q$3-'Mass Ion Calculations'!$E$14-'Mass Ion Calculations'!$E27)/2-'Mass Ion Calculations'!$D$5)))</f>
        <v/>
      </c>
      <c r="M26" s="3" t="str">
        <f>IF(OR($B26="",M$3=""),"",IF('Mass Ion Calculations'!$D$6="Yes",IF('Mass Ion Calculations'!$D$7="Yes",('Mass Ion Calculations'!$D$18+'AA Exact Masses'!$Q$3+'AA Exact Masses'!$Q$3-'Mass Ion Calculations'!$C$15-'Mass Ion Calculations'!$C27)/2-'Mass Ion Calculations'!$D$5,('Mass Ion Calculations'!$F$18+'AA Exact Masses'!$Q$3+'AA Exact Masses'!$Q$3-'Mass Ion Calculations'!$E$15-'Mass Ion Calculations'!$E27)/2-'Mass Ion Calculations'!$D$5),IF('Mass Ion Calculations'!$D$7="Yes", ('Mass Ion Calculations'!$D$15+'AA Exact Masses'!$Q$3+'AA Exact Masses'!$Q$3-'Mass Ion Calculations'!$C$15-'Mass Ion Calculations'!$C27)/2-'Mass Ion Calculations'!$D$5,('Mass Ion Calculations'!$F$15+'AA Exact Masses'!$Q$3+'AA Exact Masses'!$Q$3-'Mass Ion Calculations'!$E$15-'Mass Ion Calculations'!$E27)/2-'Mass Ion Calculations'!$D$5)))</f>
        <v/>
      </c>
      <c r="N26" s="3" t="str">
        <f>IF(OR($B26="",N$3=""),"",IF('Mass Ion Calculations'!$D$6="Yes",IF('Mass Ion Calculations'!$D$7="Yes",('Mass Ion Calculations'!$D$18+'AA Exact Masses'!$Q$3+'AA Exact Masses'!$Q$3-'Mass Ion Calculations'!$C$16-'Mass Ion Calculations'!$C27)/2-'Mass Ion Calculations'!$D$5,('Mass Ion Calculations'!$F$18+'AA Exact Masses'!$Q$3+'AA Exact Masses'!$Q$3-'Mass Ion Calculations'!$E$16-'Mass Ion Calculations'!$E27)/2-'Mass Ion Calculations'!$D$5),IF('Mass Ion Calculations'!$D$7="Yes", ('Mass Ion Calculations'!$D$15+'AA Exact Masses'!$Q$3+'AA Exact Masses'!$Q$3-'Mass Ion Calculations'!$C$16-'Mass Ion Calculations'!$C27)/2-'Mass Ion Calculations'!$D$5,('Mass Ion Calculations'!$F$15+'AA Exact Masses'!$Q$3+'AA Exact Masses'!$Q$3-'Mass Ion Calculations'!$E$16-'Mass Ion Calculations'!$E27)/2-'Mass Ion Calculations'!$D$5)))</f>
        <v/>
      </c>
      <c r="O26" s="3" t="str">
        <f>IF(OR($B26="",O$3=""),"",IF('Mass Ion Calculations'!$D$6="Yes",IF('Mass Ion Calculations'!$D$7="Yes",('Mass Ion Calculations'!$D$18+'AA Exact Masses'!$Q$3+'AA Exact Masses'!$Q$3-'Mass Ion Calculations'!$C$17-'Mass Ion Calculations'!$C27)/2-'Mass Ion Calculations'!$D$5,('Mass Ion Calculations'!$F$18+'AA Exact Masses'!$Q$3+'AA Exact Masses'!$Q$3-'Mass Ion Calculations'!$E$17-'Mass Ion Calculations'!$E27)/2-'Mass Ion Calculations'!$D$5),IF('Mass Ion Calculations'!$D$7="Yes", ('Mass Ion Calculations'!$D$15+'AA Exact Masses'!$Q$3+'AA Exact Masses'!$Q$3-'Mass Ion Calculations'!$C$17-'Mass Ion Calculations'!$C27)/2-'Mass Ion Calculations'!$D$5,('Mass Ion Calculations'!$F$15+'AA Exact Masses'!$Q$3+'AA Exact Masses'!$Q$3-'Mass Ion Calculations'!$E$17-'Mass Ion Calculations'!$E27)/2-'Mass Ion Calculations'!$D$5)))</f>
        <v/>
      </c>
      <c r="P26" s="3" t="str">
        <f>IF(OR($B26="",P$3=""),"",IF('Mass Ion Calculations'!$D$6="Yes",IF('Mass Ion Calculations'!$D$7="Yes",('Mass Ion Calculations'!$D$18+'AA Exact Masses'!$Q$3+'AA Exact Masses'!$Q$3-'Mass Ion Calculations'!$C$18-'Mass Ion Calculations'!$C27)/2-'Mass Ion Calculations'!$D$5,('Mass Ion Calculations'!$F$18+'AA Exact Masses'!$Q$3+'AA Exact Masses'!$Q$3-'Mass Ion Calculations'!$E$18-'Mass Ion Calculations'!$E27)/2-'Mass Ion Calculations'!$D$5),IF('Mass Ion Calculations'!$D$7="Yes", ('Mass Ion Calculations'!$D$15+'AA Exact Masses'!$Q$3+'AA Exact Masses'!$Q$3-'Mass Ion Calculations'!$C$18-'Mass Ion Calculations'!$C27)/2-'Mass Ion Calculations'!$D$5,('Mass Ion Calculations'!$F$15+'AA Exact Masses'!$Q$3+'AA Exact Masses'!$Q$3-'Mass Ion Calculations'!$E$18-'Mass Ion Calculations'!$E27)/2-'Mass Ion Calculations'!$D$5)))</f>
        <v/>
      </c>
      <c r="Q26" s="3" t="str">
        <f>IF(OR($B26="",Q$3=""),"",IF('Mass Ion Calculations'!$D$6="Yes",IF('Mass Ion Calculations'!$D$7="Yes",('Mass Ion Calculations'!$D$18+'AA Exact Masses'!$Q$3+'AA Exact Masses'!$Q$3-'Mass Ion Calculations'!$C$19-'Mass Ion Calculations'!$C27)/2-'Mass Ion Calculations'!$D$5,('Mass Ion Calculations'!$F$18+'AA Exact Masses'!$Q$3+'AA Exact Masses'!$Q$3-'Mass Ion Calculations'!$E$19-'Mass Ion Calculations'!$E27)/2-'Mass Ion Calculations'!$D$5),IF('Mass Ion Calculations'!$D$7="Yes", ('Mass Ion Calculations'!$D$15+'AA Exact Masses'!$Q$3+'AA Exact Masses'!$Q$3-'Mass Ion Calculations'!$C$19-'Mass Ion Calculations'!$C27)/2-'Mass Ion Calculations'!$D$5,('Mass Ion Calculations'!$F$15+'AA Exact Masses'!$Q$3+'AA Exact Masses'!$Q$3-'Mass Ion Calculations'!$E$19-'Mass Ion Calculations'!$E27)/2-'Mass Ion Calculations'!$D$5)))</f>
        <v/>
      </c>
      <c r="R26" s="3" t="str">
        <f>IF(OR($B26="",R$3=""),"",IF('Mass Ion Calculations'!$D$6="Yes",IF('Mass Ion Calculations'!$D$7="Yes",('Mass Ion Calculations'!$D$18+'AA Exact Masses'!$Q$3+'AA Exact Masses'!$Q$3-'Mass Ion Calculations'!$C$20-'Mass Ion Calculations'!$C27)/2-'Mass Ion Calculations'!$D$5,('Mass Ion Calculations'!$F$18+'AA Exact Masses'!$Q$3+'AA Exact Masses'!$Q$3-'Mass Ion Calculations'!$E$20-'Mass Ion Calculations'!$E27)/2-'Mass Ion Calculations'!$D$5),IF('Mass Ion Calculations'!$D$7="Yes", ('Mass Ion Calculations'!$D$15+'AA Exact Masses'!$Q$3+'AA Exact Masses'!$Q$3-'Mass Ion Calculations'!$C$20-'Mass Ion Calculations'!$C27)/2-'Mass Ion Calculations'!$D$5,('Mass Ion Calculations'!$F$15+'AA Exact Masses'!$Q$3+'AA Exact Masses'!$Q$3-'Mass Ion Calculations'!$E$20-'Mass Ion Calculations'!$E27)/2-'Mass Ion Calculations'!$D$5)))</f>
        <v/>
      </c>
      <c r="S26" s="3" t="str">
        <f>IF(OR($B26="",S$3=""),"",IF('Mass Ion Calculations'!$D$6="Yes",IF('Mass Ion Calculations'!$D$7="Yes",('Mass Ion Calculations'!$D$18+'AA Exact Masses'!$Q$3+'AA Exact Masses'!$Q$3-'Mass Ion Calculations'!$C$21-'Mass Ion Calculations'!$C27)/2-'Mass Ion Calculations'!$D$5,('Mass Ion Calculations'!$F$18+'AA Exact Masses'!$Q$3+'AA Exact Masses'!$Q$3-'Mass Ion Calculations'!$E$21-'Mass Ion Calculations'!$E27)/2-'Mass Ion Calculations'!$D$5),IF('Mass Ion Calculations'!$D$7="Yes", ('Mass Ion Calculations'!$D$15+'AA Exact Masses'!$Q$3+'AA Exact Masses'!$Q$3-'Mass Ion Calculations'!$C$21-'Mass Ion Calculations'!$C27)/2-'Mass Ion Calculations'!$D$5,('Mass Ion Calculations'!$F$15+'AA Exact Masses'!$Q$3+'AA Exact Masses'!$Q$3-'Mass Ion Calculations'!$E$21-'Mass Ion Calculations'!$E27)/2-'Mass Ion Calculations'!$D$5)))</f>
        <v/>
      </c>
      <c r="T26" s="3" t="str">
        <f>IF(OR($B26="",T$3=""),"",IF('Mass Ion Calculations'!$D$6="Yes",IF('Mass Ion Calculations'!$D$7="Yes",('Mass Ion Calculations'!$D$18+'AA Exact Masses'!$Q$3+'AA Exact Masses'!$Q$3-'Mass Ion Calculations'!$C$22-'Mass Ion Calculations'!$C27)/2-'Mass Ion Calculations'!$D$5,('Mass Ion Calculations'!$F$18+'AA Exact Masses'!$Q$3+'AA Exact Masses'!$Q$3-'Mass Ion Calculations'!$E$22-'Mass Ion Calculations'!$E27)/2-'Mass Ion Calculations'!$D$5),IF('Mass Ion Calculations'!$D$7="Yes", ('Mass Ion Calculations'!$D$15+'AA Exact Masses'!$Q$3+'AA Exact Masses'!$Q$3-'Mass Ion Calculations'!$C$22-'Mass Ion Calculations'!$C27)/2-'Mass Ion Calculations'!$D$5,('Mass Ion Calculations'!$F$15+'AA Exact Masses'!$Q$3+'AA Exact Masses'!$Q$3-'Mass Ion Calculations'!$E$22-'Mass Ion Calculations'!$E27)/2-'Mass Ion Calculations'!$D$5)))</f>
        <v/>
      </c>
      <c r="U26" s="3" t="str">
        <f>IF(OR($B26="",U$3=""),"",IF('Mass Ion Calculations'!$D$6="Yes",IF('Mass Ion Calculations'!$D$7="Yes",('Mass Ion Calculations'!$D$18+'AA Exact Masses'!$Q$3+'AA Exact Masses'!$Q$3-'Mass Ion Calculations'!$C$23-'Mass Ion Calculations'!$C27)/2-'Mass Ion Calculations'!$D$5,('Mass Ion Calculations'!$F$18+'AA Exact Masses'!$Q$3+'AA Exact Masses'!$Q$3-'Mass Ion Calculations'!$E$23-'Mass Ion Calculations'!$E27)/2-'Mass Ion Calculations'!$D$5),IF('Mass Ion Calculations'!$D$7="Yes", ('Mass Ion Calculations'!$D$15+'AA Exact Masses'!$Q$3+'AA Exact Masses'!$Q$3-'Mass Ion Calculations'!$C$23-'Mass Ion Calculations'!$C27)/2-'Mass Ion Calculations'!$D$5,('Mass Ion Calculations'!$F$15+'AA Exact Masses'!$Q$3+'AA Exact Masses'!$Q$3-'Mass Ion Calculations'!$E$23-'Mass Ion Calculations'!$E27)/2-'Mass Ion Calculations'!$D$5)))</f>
        <v/>
      </c>
      <c r="V26" s="3" t="str">
        <f>IF(OR($B26="",V$3=""),"",IF('Mass Ion Calculations'!$D$6="Yes",IF('Mass Ion Calculations'!$D$7="Yes",('Mass Ion Calculations'!$D$18+'AA Exact Masses'!$Q$3+'AA Exact Masses'!$Q$3-'Mass Ion Calculations'!$C$24-'Mass Ion Calculations'!$C27)/2-'Mass Ion Calculations'!$D$5,('Mass Ion Calculations'!$F$18+'AA Exact Masses'!$Q$3+'AA Exact Masses'!$Q$3-'Mass Ion Calculations'!$E$24-'Mass Ion Calculations'!$E27)/2-'Mass Ion Calculations'!$D$5),IF('Mass Ion Calculations'!$D$7="Yes", ('Mass Ion Calculations'!$D$15+'AA Exact Masses'!$Q$3+'AA Exact Masses'!$Q$3-'Mass Ion Calculations'!$C$24-'Mass Ion Calculations'!$C27)/2-'Mass Ion Calculations'!$D$5,('Mass Ion Calculations'!$F$15+'AA Exact Masses'!$Q$3+'AA Exact Masses'!$Q$3-'Mass Ion Calculations'!$E$24-'Mass Ion Calculations'!$E27)/2-'Mass Ion Calculations'!$D$5)))</f>
        <v/>
      </c>
      <c r="W26" s="3" t="str">
        <f>IF(OR($B26="",W$3=""),"",IF('Mass Ion Calculations'!$D$6="Yes",IF('Mass Ion Calculations'!$D$7="Yes",('Mass Ion Calculations'!$D$18+'AA Exact Masses'!$Q$3+'AA Exact Masses'!$Q$3-'Mass Ion Calculations'!$C$25-'Mass Ion Calculations'!$C27)/2-'Mass Ion Calculations'!$D$5,('Mass Ion Calculations'!$F$18+'AA Exact Masses'!$Q$3+'AA Exact Masses'!$Q$3-'Mass Ion Calculations'!$E$25-'Mass Ion Calculations'!$E27)/2-'Mass Ion Calculations'!$D$5),IF('Mass Ion Calculations'!$D$7="Yes", ('Mass Ion Calculations'!$D$15+'AA Exact Masses'!$Q$3+'AA Exact Masses'!$Q$3-'Mass Ion Calculations'!$C$25-'Mass Ion Calculations'!$C27)/2-'Mass Ion Calculations'!$D$5,('Mass Ion Calculations'!$F$15+'AA Exact Masses'!$Q$3+'AA Exact Masses'!$Q$3-'Mass Ion Calculations'!$E$25-'Mass Ion Calculations'!$E27)/2-'Mass Ion Calculations'!$D$5)))</f>
        <v/>
      </c>
      <c r="X26" s="3" t="str">
        <f>IF(OR($B26="",X$3=""),"",IF('Mass Ion Calculations'!$D$6="Yes",IF('Mass Ion Calculations'!$D$7="Yes",('Mass Ion Calculations'!$D$18+'AA Exact Masses'!$Q$3+'AA Exact Masses'!$Q$3-'Mass Ion Calculations'!$C$26-'Mass Ion Calculations'!$C27)/2-'Mass Ion Calculations'!$D$5,('Mass Ion Calculations'!$F$18+'AA Exact Masses'!$Q$3+'AA Exact Masses'!$Q$3-'Mass Ion Calculations'!$E$26-'Mass Ion Calculations'!$E27)/2-'Mass Ion Calculations'!$D$5),IF('Mass Ion Calculations'!$D$7="Yes", ('Mass Ion Calculations'!$D$15+'AA Exact Masses'!$Q$3+'AA Exact Masses'!$Q$3-'Mass Ion Calculations'!$C$26-'Mass Ion Calculations'!$C27)/2-'Mass Ion Calculations'!$D$5,('Mass Ion Calculations'!$F$15+'AA Exact Masses'!$Q$3+'AA Exact Masses'!$Q$3-'Mass Ion Calculations'!$E$26-'Mass Ion Calculations'!$E27)/2-'Mass Ion Calculations'!$D$5)))</f>
        <v/>
      </c>
      <c r="Y26" s="3" t="str">
        <f>IF(OR($B26="",Y$3=""),"",IF('Mass Ion Calculations'!$D$6="Yes",IF('Mass Ion Calculations'!$D$7="Yes",('Mass Ion Calculations'!$D$18+'AA Exact Masses'!$Q$3+'AA Exact Masses'!$Q$3-'Mass Ion Calculations'!$C$27-'Mass Ion Calculations'!$C27)/2-'Mass Ion Calculations'!$D$5,('Mass Ion Calculations'!$F$18+'AA Exact Masses'!$Q$3+'AA Exact Masses'!$Q$3-'Mass Ion Calculations'!$E$27-'Mass Ion Calculations'!$E27)/2-'Mass Ion Calculations'!$D$5),IF('Mass Ion Calculations'!$D$7="Yes", ('Mass Ion Calculations'!$D$15+'AA Exact Masses'!$Q$3+'AA Exact Masses'!$Q$3-'Mass Ion Calculations'!$C$27-'Mass Ion Calculations'!$C27)/2-'Mass Ion Calculations'!$D$5,('Mass Ion Calculations'!$F$15+'AA Exact Masses'!$Q$3+'AA Exact Masses'!$Q$3-'Mass Ion Calculations'!$E$27-'Mass Ion Calculations'!$E27)/2-'Mass Ion Calculations'!$D$5)))</f>
        <v/>
      </c>
      <c r="Z26" s="3" t="str">
        <f>IF(OR($B26="",Z$3=""),"",IF('Mass Ion Calculations'!$D$6="Yes",IF('Mass Ion Calculations'!$D$7="Yes",('Mass Ion Calculations'!$D$18+'AA Exact Masses'!$Q$3+'AA Exact Masses'!$Q$3-'Mass Ion Calculations'!$C$28-'Mass Ion Calculations'!$C27)/2-'Mass Ion Calculations'!$D$5,('Mass Ion Calculations'!$F$18+'AA Exact Masses'!$Q$3+'AA Exact Masses'!$Q$3-'Mass Ion Calculations'!$E$28-'Mass Ion Calculations'!$E27)/2-'Mass Ion Calculations'!$D$5),IF('Mass Ion Calculations'!$D$7="Yes", ('Mass Ion Calculations'!$D$15+'AA Exact Masses'!$Q$3+'AA Exact Masses'!$Q$3-'Mass Ion Calculations'!$C$28-'Mass Ion Calculations'!$C27)/2-'Mass Ion Calculations'!$D$5,('Mass Ion Calculations'!$F$15+'AA Exact Masses'!$Q$3+'AA Exact Masses'!$Q$3-'Mass Ion Calculations'!$E$28-'Mass Ion Calculations'!$E27)/2-'Mass Ion Calculations'!$D$5)))</f>
        <v/>
      </c>
    </row>
    <row r="27" spans="2:26" x14ac:dyDescent="0.25">
      <c r="C27" s="3" t="str">
        <f>IF(OR($B27="",C$3=""),"",IF('Mass Ion Calculations'!$D$6="Yes",IF('Mass Ion Calculations'!$D$7="Yes",('Mass Ion Calculations'!$D$18+'AA Exact Masses'!$Q$3+'AA Exact Masses'!$Q$3-'Mass Ion Calculations'!$C$5-'Mass Ion Calculations'!$C28)/2-'Mass Ion Calculations'!$D$5,('Mass Ion Calculations'!$F$18+'AA Exact Masses'!$Q$3+'AA Exact Masses'!$Q$3-'Mass Ion Calculations'!$E$5-'Mass Ion Calculations'!$E28)/2-'Mass Ion Calculations'!$D$5),IF('Mass Ion Calculations'!$D$7="Yes", ('Mass Ion Calculations'!$D$15+'AA Exact Masses'!$Q$3+'AA Exact Masses'!$Q$3-'Mass Ion Calculations'!$C$5-'Mass Ion Calculations'!$C28)/2-'Mass Ion Calculations'!$D$5,('Mass Ion Calculations'!$F$15+'AA Exact Masses'!$Q$3+'AA Exact Masses'!$Q$3-'Mass Ion Calculations'!$E$5-'Mass Ion Calculations'!$E28)/2-'Mass Ion Calculations'!$D$5)))</f>
        <v/>
      </c>
      <c r="D27" s="3" t="str">
        <f>IF(OR($B27="",D$3=""),"",IF('Mass Ion Calculations'!$D$6="Yes",IF('Mass Ion Calculations'!$D$7="Yes",('Mass Ion Calculations'!$D$18+'AA Exact Masses'!$Q$3+'AA Exact Masses'!$Q$3-'Mass Ion Calculations'!$C$6-'Mass Ion Calculations'!$C28)/2-'Mass Ion Calculations'!$D$5,('Mass Ion Calculations'!$F$18+'AA Exact Masses'!$Q$3+'AA Exact Masses'!$Q$3-'Mass Ion Calculations'!$E$6-'Mass Ion Calculations'!$E28)/2-'Mass Ion Calculations'!$D$5),IF('Mass Ion Calculations'!$D$7="Yes", ('Mass Ion Calculations'!$D$15+'AA Exact Masses'!$Q$3+'AA Exact Masses'!$Q$3-'Mass Ion Calculations'!$C$6-'Mass Ion Calculations'!$C28)/2-'Mass Ion Calculations'!$D$5,('Mass Ion Calculations'!$F$15+'AA Exact Masses'!$Q$3+'AA Exact Masses'!$Q$3-'Mass Ion Calculations'!$E$6-'Mass Ion Calculations'!$E28)/2-'Mass Ion Calculations'!$D$5)))</f>
        <v/>
      </c>
      <c r="E27" s="3" t="str">
        <f>IF(OR($B27="",E$3=""),"",IF('Mass Ion Calculations'!$D$6="Yes",IF('Mass Ion Calculations'!$D$7="Yes",('Mass Ion Calculations'!$D$18+'AA Exact Masses'!$Q$3+'AA Exact Masses'!$Q$3-'Mass Ion Calculations'!$C$7-'Mass Ion Calculations'!$C28)/2-'Mass Ion Calculations'!$D$5,('Mass Ion Calculations'!$F$18+'AA Exact Masses'!$Q$3+'AA Exact Masses'!$Q$3-'Mass Ion Calculations'!$E$7-'Mass Ion Calculations'!$E28)/2-'Mass Ion Calculations'!$D$5),IF('Mass Ion Calculations'!$D$7="Yes", ('Mass Ion Calculations'!$D$15+'AA Exact Masses'!$Q$3+'AA Exact Masses'!$Q$3-'Mass Ion Calculations'!$C$7-'Mass Ion Calculations'!$C28)/2-'Mass Ion Calculations'!$D$5,('Mass Ion Calculations'!$F$15+'AA Exact Masses'!$Q$3+'AA Exact Masses'!$Q$3-'Mass Ion Calculations'!$E$7-'Mass Ion Calculations'!$E28)/2-'Mass Ion Calculations'!$D$5)))</f>
        <v/>
      </c>
      <c r="F27" s="3" t="str">
        <f>IF(OR($B27="",F$3=""),"",IF('Mass Ion Calculations'!$D$6="Yes",IF('Mass Ion Calculations'!$D$7="Yes",('Mass Ion Calculations'!$D$18+'AA Exact Masses'!$Q$3+'AA Exact Masses'!$Q$3-'Mass Ion Calculations'!$C$8-'Mass Ion Calculations'!$C28)/2-'Mass Ion Calculations'!$D$5,('Mass Ion Calculations'!$F$18+'AA Exact Masses'!$Q$3+'AA Exact Masses'!$Q$3-'Mass Ion Calculations'!$E$8-'Mass Ion Calculations'!$E28)/2-'Mass Ion Calculations'!$D$5),IF('Mass Ion Calculations'!$D$7="Yes", ('Mass Ion Calculations'!$D$15+'AA Exact Masses'!$Q$3+'AA Exact Masses'!$Q$3-'Mass Ion Calculations'!$C$8-'Mass Ion Calculations'!$C28)/2-'Mass Ion Calculations'!$D$5,('Mass Ion Calculations'!$F$15+'AA Exact Masses'!$Q$3+'AA Exact Masses'!$Q$3-'Mass Ion Calculations'!$E$8-'Mass Ion Calculations'!$E28)/2-'Mass Ion Calculations'!$D$5)))</f>
        <v/>
      </c>
      <c r="G27" s="3" t="str">
        <f>IF(OR($B27="",G$3=""),"",IF('Mass Ion Calculations'!$D$6="Yes",IF('Mass Ion Calculations'!$D$7="Yes",('Mass Ion Calculations'!$D$18+'AA Exact Masses'!$Q$3+'AA Exact Masses'!$Q$3-'Mass Ion Calculations'!$C$9-'Mass Ion Calculations'!$C28)/2-'Mass Ion Calculations'!$D$5,('Mass Ion Calculations'!$F$18+'AA Exact Masses'!$Q$3+'AA Exact Masses'!$Q$3-'Mass Ion Calculations'!$E$9-'Mass Ion Calculations'!$E28)/2-'Mass Ion Calculations'!$D$5),IF('Mass Ion Calculations'!$D$7="Yes", ('Mass Ion Calculations'!$D$15+'AA Exact Masses'!$Q$3+'AA Exact Masses'!$Q$3-'Mass Ion Calculations'!$C$9-'Mass Ion Calculations'!$C28)/2-'Mass Ion Calculations'!$D$5,('Mass Ion Calculations'!$F$15+'AA Exact Masses'!$Q$3+'AA Exact Masses'!$Q$3-'Mass Ion Calculations'!$E$9-'Mass Ion Calculations'!$E28)/2-'Mass Ion Calculations'!$D$5)))</f>
        <v/>
      </c>
      <c r="H27" s="3" t="str">
        <f>IF(OR($B27="",H$3=""),"",IF('Mass Ion Calculations'!$D$6="Yes",IF('Mass Ion Calculations'!$D$7="Yes",('Mass Ion Calculations'!$D$18+'AA Exact Masses'!$Q$3+'AA Exact Masses'!$Q$3-'Mass Ion Calculations'!$C$10-'Mass Ion Calculations'!$C28)/2-'Mass Ion Calculations'!$D$5,('Mass Ion Calculations'!$F$18+'AA Exact Masses'!$Q$3+'AA Exact Masses'!$Q$3-'Mass Ion Calculations'!$E$10-'Mass Ion Calculations'!$E28)/2-'Mass Ion Calculations'!$D$5),IF('Mass Ion Calculations'!$D$7="Yes", ('Mass Ion Calculations'!$D$15+'AA Exact Masses'!$Q$3+'AA Exact Masses'!$Q$3-'Mass Ion Calculations'!$C$10-'Mass Ion Calculations'!$C28)/2-'Mass Ion Calculations'!$D$5,('Mass Ion Calculations'!$F$15+'AA Exact Masses'!$Q$3+'AA Exact Masses'!$Q$3-'Mass Ion Calculations'!$E$10-'Mass Ion Calculations'!$E28)/2-'Mass Ion Calculations'!$D$5)))</f>
        <v/>
      </c>
      <c r="I27" s="3" t="str">
        <f>IF(OR($B27="",I$3=""),"",IF('Mass Ion Calculations'!$D$6="Yes",IF('Mass Ion Calculations'!$D$7="Yes",('Mass Ion Calculations'!$D$18+'AA Exact Masses'!$Q$3+'AA Exact Masses'!$Q$3-'Mass Ion Calculations'!$C$11-'Mass Ion Calculations'!$C28)/2-'Mass Ion Calculations'!$D$5,('Mass Ion Calculations'!$F$18+'AA Exact Masses'!$Q$3+'AA Exact Masses'!$Q$3-'Mass Ion Calculations'!$E$11-'Mass Ion Calculations'!$E28)/2-'Mass Ion Calculations'!$D$5),IF('Mass Ion Calculations'!$D$7="Yes", ('Mass Ion Calculations'!$D$15+'AA Exact Masses'!$Q$3+'AA Exact Masses'!$Q$3-'Mass Ion Calculations'!$C$11-'Mass Ion Calculations'!$C28)/2-'Mass Ion Calculations'!$D$5,('Mass Ion Calculations'!$F$15+'AA Exact Masses'!$Q$3+'AA Exact Masses'!$Q$3-'Mass Ion Calculations'!$E$11-'Mass Ion Calculations'!$E28)/2-'Mass Ion Calculations'!$D$5)))</f>
        <v/>
      </c>
      <c r="J27" s="3" t="str">
        <f>IF(OR($B27="",J$3=""),"",IF('Mass Ion Calculations'!$D$6="Yes",IF('Mass Ion Calculations'!$D$7="Yes",('Mass Ion Calculations'!$D$18+'AA Exact Masses'!$Q$3+'AA Exact Masses'!$Q$3-'Mass Ion Calculations'!$C$12-'Mass Ion Calculations'!$C28)/2-'Mass Ion Calculations'!$D$5,('Mass Ion Calculations'!$F$18+'AA Exact Masses'!$Q$3+'AA Exact Masses'!$Q$3-'Mass Ion Calculations'!$E$12-'Mass Ion Calculations'!$E28)/2-'Mass Ion Calculations'!$D$5),IF('Mass Ion Calculations'!$D$7="Yes", ('Mass Ion Calculations'!$D$15+'AA Exact Masses'!$Q$3+'AA Exact Masses'!$Q$3-'Mass Ion Calculations'!$C$12-'Mass Ion Calculations'!$C28)/2-'Mass Ion Calculations'!$D$5,('Mass Ion Calculations'!$F$15+'AA Exact Masses'!$Q$3+'AA Exact Masses'!$Q$3-'Mass Ion Calculations'!$E$12-'Mass Ion Calculations'!$E28)/2-'Mass Ion Calculations'!$D$5)))</f>
        <v/>
      </c>
      <c r="K27" s="3" t="str">
        <f>IF(OR($B27="",K$3=""),"",IF('Mass Ion Calculations'!$D$6="Yes",IF('Mass Ion Calculations'!$D$7="Yes",('Mass Ion Calculations'!$D$18+'AA Exact Masses'!$Q$3+'AA Exact Masses'!$Q$3-'Mass Ion Calculations'!$C$13-'Mass Ion Calculations'!$C28)/2-'Mass Ion Calculations'!$D$5,('Mass Ion Calculations'!$F$18+'AA Exact Masses'!$Q$3+'AA Exact Masses'!$Q$3-'Mass Ion Calculations'!$E$13-'Mass Ion Calculations'!$E28)/2-'Mass Ion Calculations'!$D$5),IF('Mass Ion Calculations'!$D$7="Yes", ('Mass Ion Calculations'!$D$15+'AA Exact Masses'!$Q$3+'AA Exact Masses'!$Q$3-'Mass Ion Calculations'!$C$13-'Mass Ion Calculations'!$C28)/2-'Mass Ion Calculations'!$D$5,('Mass Ion Calculations'!$F$15+'AA Exact Masses'!$Q$3+'AA Exact Masses'!$Q$3-'Mass Ion Calculations'!$E$13-'Mass Ion Calculations'!$E28)/2-'Mass Ion Calculations'!$D$5)))</f>
        <v/>
      </c>
      <c r="L27" s="3" t="str">
        <f>IF(OR($B27="",L$3=""),"",IF('Mass Ion Calculations'!$D$6="Yes",IF('Mass Ion Calculations'!$D$7="Yes",('Mass Ion Calculations'!$D$18+'AA Exact Masses'!$Q$3+'AA Exact Masses'!$Q$3-'Mass Ion Calculations'!$C$14-'Mass Ion Calculations'!$C28)/2-'Mass Ion Calculations'!$D$5,('Mass Ion Calculations'!$F$18+'AA Exact Masses'!$Q$3+'AA Exact Masses'!$Q$3-'Mass Ion Calculations'!$E$14-'Mass Ion Calculations'!$E28)/2-'Mass Ion Calculations'!$D$5),IF('Mass Ion Calculations'!$D$7="Yes", ('Mass Ion Calculations'!$D$15+'AA Exact Masses'!$Q$3+'AA Exact Masses'!$Q$3-'Mass Ion Calculations'!$C$14-'Mass Ion Calculations'!$C28)/2-'Mass Ion Calculations'!$D$5,('Mass Ion Calculations'!$F$15+'AA Exact Masses'!$Q$3+'AA Exact Masses'!$Q$3-'Mass Ion Calculations'!$E$14-'Mass Ion Calculations'!$E28)/2-'Mass Ion Calculations'!$D$5)))</f>
        <v/>
      </c>
      <c r="M27" s="3" t="str">
        <f>IF(OR($B27="",M$3=""),"",IF('Mass Ion Calculations'!$D$6="Yes",IF('Mass Ion Calculations'!$D$7="Yes",('Mass Ion Calculations'!$D$18+'AA Exact Masses'!$Q$3+'AA Exact Masses'!$Q$3-'Mass Ion Calculations'!$C$15-'Mass Ion Calculations'!$C28)/2-'Mass Ion Calculations'!$D$5,('Mass Ion Calculations'!$F$18+'AA Exact Masses'!$Q$3+'AA Exact Masses'!$Q$3-'Mass Ion Calculations'!$E$15-'Mass Ion Calculations'!$E28)/2-'Mass Ion Calculations'!$D$5),IF('Mass Ion Calculations'!$D$7="Yes", ('Mass Ion Calculations'!$D$15+'AA Exact Masses'!$Q$3+'AA Exact Masses'!$Q$3-'Mass Ion Calculations'!$C$15-'Mass Ion Calculations'!$C28)/2-'Mass Ion Calculations'!$D$5,('Mass Ion Calculations'!$F$15+'AA Exact Masses'!$Q$3+'AA Exact Masses'!$Q$3-'Mass Ion Calculations'!$E$15-'Mass Ion Calculations'!$E28)/2-'Mass Ion Calculations'!$D$5)))</f>
        <v/>
      </c>
      <c r="N27" s="3" t="str">
        <f>IF(OR($B27="",N$3=""),"",IF('Mass Ion Calculations'!$D$6="Yes",IF('Mass Ion Calculations'!$D$7="Yes",('Mass Ion Calculations'!$D$18+'AA Exact Masses'!$Q$3+'AA Exact Masses'!$Q$3-'Mass Ion Calculations'!$C$16-'Mass Ion Calculations'!$C28)/2-'Mass Ion Calculations'!$D$5,('Mass Ion Calculations'!$F$18+'AA Exact Masses'!$Q$3+'AA Exact Masses'!$Q$3-'Mass Ion Calculations'!$E$16-'Mass Ion Calculations'!$E28)/2-'Mass Ion Calculations'!$D$5),IF('Mass Ion Calculations'!$D$7="Yes", ('Mass Ion Calculations'!$D$15+'AA Exact Masses'!$Q$3+'AA Exact Masses'!$Q$3-'Mass Ion Calculations'!$C$16-'Mass Ion Calculations'!$C28)/2-'Mass Ion Calculations'!$D$5,('Mass Ion Calculations'!$F$15+'AA Exact Masses'!$Q$3+'AA Exact Masses'!$Q$3-'Mass Ion Calculations'!$E$16-'Mass Ion Calculations'!$E28)/2-'Mass Ion Calculations'!$D$5)))</f>
        <v/>
      </c>
      <c r="O27" s="3" t="str">
        <f>IF(OR($B27="",O$3=""),"",IF('Mass Ion Calculations'!$D$6="Yes",IF('Mass Ion Calculations'!$D$7="Yes",('Mass Ion Calculations'!$D$18+'AA Exact Masses'!$Q$3+'AA Exact Masses'!$Q$3-'Mass Ion Calculations'!$C$17-'Mass Ion Calculations'!$C28)/2-'Mass Ion Calculations'!$D$5,('Mass Ion Calculations'!$F$18+'AA Exact Masses'!$Q$3+'AA Exact Masses'!$Q$3-'Mass Ion Calculations'!$E$17-'Mass Ion Calculations'!$E28)/2-'Mass Ion Calculations'!$D$5),IF('Mass Ion Calculations'!$D$7="Yes", ('Mass Ion Calculations'!$D$15+'AA Exact Masses'!$Q$3+'AA Exact Masses'!$Q$3-'Mass Ion Calculations'!$C$17-'Mass Ion Calculations'!$C28)/2-'Mass Ion Calculations'!$D$5,('Mass Ion Calculations'!$F$15+'AA Exact Masses'!$Q$3+'AA Exact Masses'!$Q$3-'Mass Ion Calculations'!$E$17-'Mass Ion Calculations'!$E28)/2-'Mass Ion Calculations'!$D$5)))</f>
        <v/>
      </c>
      <c r="P27" s="3" t="str">
        <f>IF(OR($B27="",P$3=""),"",IF('Mass Ion Calculations'!$D$6="Yes",IF('Mass Ion Calculations'!$D$7="Yes",('Mass Ion Calculations'!$D$18+'AA Exact Masses'!$Q$3+'AA Exact Masses'!$Q$3-'Mass Ion Calculations'!$C$18-'Mass Ion Calculations'!$C28)/2-'Mass Ion Calculations'!$D$5,('Mass Ion Calculations'!$F$18+'AA Exact Masses'!$Q$3+'AA Exact Masses'!$Q$3-'Mass Ion Calculations'!$E$18-'Mass Ion Calculations'!$E28)/2-'Mass Ion Calculations'!$D$5),IF('Mass Ion Calculations'!$D$7="Yes", ('Mass Ion Calculations'!$D$15+'AA Exact Masses'!$Q$3+'AA Exact Masses'!$Q$3-'Mass Ion Calculations'!$C$18-'Mass Ion Calculations'!$C28)/2-'Mass Ion Calculations'!$D$5,('Mass Ion Calculations'!$F$15+'AA Exact Masses'!$Q$3+'AA Exact Masses'!$Q$3-'Mass Ion Calculations'!$E$18-'Mass Ion Calculations'!$E28)/2-'Mass Ion Calculations'!$D$5)))</f>
        <v/>
      </c>
      <c r="Q27" s="3" t="str">
        <f>IF(OR($B27="",Q$3=""),"",IF('Mass Ion Calculations'!$D$6="Yes",IF('Mass Ion Calculations'!$D$7="Yes",('Mass Ion Calculations'!$D$18+'AA Exact Masses'!$Q$3+'AA Exact Masses'!$Q$3-'Mass Ion Calculations'!$C$19-'Mass Ion Calculations'!$C28)/2-'Mass Ion Calculations'!$D$5,('Mass Ion Calculations'!$F$18+'AA Exact Masses'!$Q$3+'AA Exact Masses'!$Q$3-'Mass Ion Calculations'!$E$19-'Mass Ion Calculations'!$E28)/2-'Mass Ion Calculations'!$D$5),IF('Mass Ion Calculations'!$D$7="Yes", ('Mass Ion Calculations'!$D$15+'AA Exact Masses'!$Q$3+'AA Exact Masses'!$Q$3-'Mass Ion Calculations'!$C$19-'Mass Ion Calculations'!$C28)/2-'Mass Ion Calculations'!$D$5,('Mass Ion Calculations'!$F$15+'AA Exact Masses'!$Q$3+'AA Exact Masses'!$Q$3-'Mass Ion Calculations'!$E$19-'Mass Ion Calculations'!$E28)/2-'Mass Ion Calculations'!$D$5)))</f>
        <v/>
      </c>
      <c r="R27" s="3" t="str">
        <f>IF(OR($B27="",R$3=""),"",IF('Mass Ion Calculations'!$D$6="Yes",IF('Mass Ion Calculations'!$D$7="Yes",('Mass Ion Calculations'!$D$18+'AA Exact Masses'!$Q$3+'AA Exact Masses'!$Q$3-'Mass Ion Calculations'!$C$20-'Mass Ion Calculations'!$C28)/2-'Mass Ion Calculations'!$D$5,('Mass Ion Calculations'!$F$18+'AA Exact Masses'!$Q$3+'AA Exact Masses'!$Q$3-'Mass Ion Calculations'!$E$20-'Mass Ion Calculations'!$E28)/2-'Mass Ion Calculations'!$D$5),IF('Mass Ion Calculations'!$D$7="Yes", ('Mass Ion Calculations'!$D$15+'AA Exact Masses'!$Q$3+'AA Exact Masses'!$Q$3-'Mass Ion Calculations'!$C$20-'Mass Ion Calculations'!$C28)/2-'Mass Ion Calculations'!$D$5,('Mass Ion Calculations'!$F$15+'AA Exact Masses'!$Q$3+'AA Exact Masses'!$Q$3-'Mass Ion Calculations'!$E$20-'Mass Ion Calculations'!$E28)/2-'Mass Ion Calculations'!$D$5)))</f>
        <v/>
      </c>
      <c r="S27" s="3" t="str">
        <f>IF(OR($B27="",S$3=""),"",IF('Mass Ion Calculations'!$D$6="Yes",IF('Mass Ion Calculations'!$D$7="Yes",('Mass Ion Calculations'!$D$18+'AA Exact Masses'!$Q$3+'AA Exact Masses'!$Q$3-'Mass Ion Calculations'!$C$21-'Mass Ion Calculations'!$C28)/2-'Mass Ion Calculations'!$D$5,('Mass Ion Calculations'!$F$18+'AA Exact Masses'!$Q$3+'AA Exact Masses'!$Q$3-'Mass Ion Calculations'!$E$21-'Mass Ion Calculations'!$E28)/2-'Mass Ion Calculations'!$D$5),IF('Mass Ion Calculations'!$D$7="Yes", ('Mass Ion Calculations'!$D$15+'AA Exact Masses'!$Q$3+'AA Exact Masses'!$Q$3-'Mass Ion Calculations'!$C$21-'Mass Ion Calculations'!$C28)/2-'Mass Ion Calculations'!$D$5,('Mass Ion Calculations'!$F$15+'AA Exact Masses'!$Q$3+'AA Exact Masses'!$Q$3-'Mass Ion Calculations'!$E$21-'Mass Ion Calculations'!$E28)/2-'Mass Ion Calculations'!$D$5)))</f>
        <v/>
      </c>
      <c r="T27" s="3" t="str">
        <f>IF(OR($B27="",T$3=""),"",IF('Mass Ion Calculations'!$D$6="Yes",IF('Mass Ion Calculations'!$D$7="Yes",('Mass Ion Calculations'!$D$18+'AA Exact Masses'!$Q$3+'AA Exact Masses'!$Q$3-'Mass Ion Calculations'!$C$22-'Mass Ion Calculations'!$C28)/2-'Mass Ion Calculations'!$D$5,('Mass Ion Calculations'!$F$18+'AA Exact Masses'!$Q$3+'AA Exact Masses'!$Q$3-'Mass Ion Calculations'!$E$22-'Mass Ion Calculations'!$E28)/2-'Mass Ion Calculations'!$D$5),IF('Mass Ion Calculations'!$D$7="Yes", ('Mass Ion Calculations'!$D$15+'AA Exact Masses'!$Q$3+'AA Exact Masses'!$Q$3-'Mass Ion Calculations'!$C$22-'Mass Ion Calculations'!$C28)/2-'Mass Ion Calculations'!$D$5,('Mass Ion Calculations'!$F$15+'AA Exact Masses'!$Q$3+'AA Exact Masses'!$Q$3-'Mass Ion Calculations'!$E$22-'Mass Ion Calculations'!$E28)/2-'Mass Ion Calculations'!$D$5)))</f>
        <v/>
      </c>
      <c r="U27" s="3" t="str">
        <f>IF(OR($B27="",U$3=""),"",IF('Mass Ion Calculations'!$D$6="Yes",IF('Mass Ion Calculations'!$D$7="Yes",('Mass Ion Calculations'!$D$18+'AA Exact Masses'!$Q$3+'AA Exact Masses'!$Q$3-'Mass Ion Calculations'!$C$23-'Mass Ion Calculations'!$C28)/2-'Mass Ion Calculations'!$D$5,('Mass Ion Calculations'!$F$18+'AA Exact Masses'!$Q$3+'AA Exact Masses'!$Q$3-'Mass Ion Calculations'!$E$23-'Mass Ion Calculations'!$E28)/2-'Mass Ion Calculations'!$D$5),IF('Mass Ion Calculations'!$D$7="Yes", ('Mass Ion Calculations'!$D$15+'AA Exact Masses'!$Q$3+'AA Exact Masses'!$Q$3-'Mass Ion Calculations'!$C$23-'Mass Ion Calculations'!$C28)/2-'Mass Ion Calculations'!$D$5,('Mass Ion Calculations'!$F$15+'AA Exact Masses'!$Q$3+'AA Exact Masses'!$Q$3-'Mass Ion Calculations'!$E$23-'Mass Ion Calculations'!$E28)/2-'Mass Ion Calculations'!$D$5)))</f>
        <v/>
      </c>
      <c r="V27" s="3" t="str">
        <f>IF(OR($B27="",V$3=""),"",IF('Mass Ion Calculations'!$D$6="Yes",IF('Mass Ion Calculations'!$D$7="Yes",('Mass Ion Calculations'!$D$18+'AA Exact Masses'!$Q$3+'AA Exact Masses'!$Q$3-'Mass Ion Calculations'!$C$24-'Mass Ion Calculations'!$C28)/2-'Mass Ion Calculations'!$D$5,('Mass Ion Calculations'!$F$18+'AA Exact Masses'!$Q$3+'AA Exact Masses'!$Q$3-'Mass Ion Calculations'!$E$24-'Mass Ion Calculations'!$E28)/2-'Mass Ion Calculations'!$D$5),IF('Mass Ion Calculations'!$D$7="Yes", ('Mass Ion Calculations'!$D$15+'AA Exact Masses'!$Q$3+'AA Exact Masses'!$Q$3-'Mass Ion Calculations'!$C$24-'Mass Ion Calculations'!$C28)/2-'Mass Ion Calculations'!$D$5,('Mass Ion Calculations'!$F$15+'AA Exact Masses'!$Q$3+'AA Exact Masses'!$Q$3-'Mass Ion Calculations'!$E$24-'Mass Ion Calculations'!$E28)/2-'Mass Ion Calculations'!$D$5)))</f>
        <v/>
      </c>
      <c r="W27" s="3" t="str">
        <f>IF(OR($B27="",W$3=""),"",IF('Mass Ion Calculations'!$D$6="Yes",IF('Mass Ion Calculations'!$D$7="Yes",('Mass Ion Calculations'!$D$18+'AA Exact Masses'!$Q$3+'AA Exact Masses'!$Q$3-'Mass Ion Calculations'!$C$25-'Mass Ion Calculations'!$C28)/2-'Mass Ion Calculations'!$D$5,('Mass Ion Calculations'!$F$18+'AA Exact Masses'!$Q$3+'AA Exact Masses'!$Q$3-'Mass Ion Calculations'!$E$25-'Mass Ion Calculations'!$E28)/2-'Mass Ion Calculations'!$D$5),IF('Mass Ion Calculations'!$D$7="Yes", ('Mass Ion Calculations'!$D$15+'AA Exact Masses'!$Q$3+'AA Exact Masses'!$Q$3-'Mass Ion Calculations'!$C$25-'Mass Ion Calculations'!$C28)/2-'Mass Ion Calculations'!$D$5,('Mass Ion Calculations'!$F$15+'AA Exact Masses'!$Q$3+'AA Exact Masses'!$Q$3-'Mass Ion Calculations'!$E$25-'Mass Ion Calculations'!$E28)/2-'Mass Ion Calculations'!$D$5)))</f>
        <v/>
      </c>
      <c r="X27" s="3" t="str">
        <f>IF(OR($B27="",X$3=""),"",IF('Mass Ion Calculations'!$D$6="Yes",IF('Mass Ion Calculations'!$D$7="Yes",('Mass Ion Calculations'!$D$18+'AA Exact Masses'!$Q$3+'AA Exact Masses'!$Q$3-'Mass Ion Calculations'!$C$26-'Mass Ion Calculations'!$C28)/2-'Mass Ion Calculations'!$D$5,('Mass Ion Calculations'!$F$18+'AA Exact Masses'!$Q$3+'AA Exact Masses'!$Q$3-'Mass Ion Calculations'!$E$26-'Mass Ion Calculations'!$E28)/2-'Mass Ion Calculations'!$D$5),IF('Mass Ion Calculations'!$D$7="Yes", ('Mass Ion Calculations'!$D$15+'AA Exact Masses'!$Q$3+'AA Exact Masses'!$Q$3-'Mass Ion Calculations'!$C$26-'Mass Ion Calculations'!$C28)/2-'Mass Ion Calculations'!$D$5,('Mass Ion Calculations'!$F$15+'AA Exact Masses'!$Q$3+'AA Exact Masses'!$Q$3-'Mass Ion Calculations'!$E$26-'Mass Ion Calculations'!$E28)/2-'Mass Ion Calculations'!$D$5)))</f>
        <v/>
      </c>
      <c r="Y27" s="3" t="str">
        <f>IF(OR($B27="",Y$3=""),"",IF('Mass Ion Calculations'!$D$6="Yes",IF('Mass Ion Calculations'!$D$7="Yes",('Mass Ion Calculations'!$D$18+'AA Exact Masses'!$Q$3+'AA Exact Masses'!$Q$3-'Mass Ion Calculations'!$C$27-'Mass Ion Calculations'!$C28)/2-'Mass Ion Calculations'!$D$5,('Mass Ion Calculations'!$F$18+'AA Exact Masses'!$Q$3+'AA Exact Masses'!$Q$3-'Mass Ion Calculations'!$E$27-'Mass Ion Calculations'!$E28)/2-'Mass Ion Calculations'!$D$5),IF('Mass Ion Calculations'!$D$7="Yes", ('Mass Ion Calculations'!$D$15+'AA Exact Masses'!$Q$3+'AA Exact Masses'!$Q$3-'Mass Ion Calculations'!$C$27-'Mass Ion Calculations'!$C28)/2-'Mass Ion Calculations'!$D$5,('Mass Ion Calculations'!$F$15+'AA Exact Masses'!$Q$3+'AA Exact Masses'!$Q$3-'Mass Ion Calculations'!$E$27-'Mass Ion Calculations'!$E28)/2-'Mass Ion Calculations'!$D$5)))</f>
        <v/>
      </c>
      <c r="Z27" s="3" t="str">
        <f>IF(OR($B27="",Z$3=""),"",IF('Mass Ion Calculations'!$D$6="Yes",IF('Mass Ion Calculations'!$D$7="Yes",('Mass Ion Calculations'!$D$18+'AA Exact Masses'!$Q$3+'AA Exact Masses'!$Q$3-'Mass Ion Calculations'!$C$28-'Mass Ion Calculations'!$C28)/2-'Mass Ion Calculations'!$D$5,('Mass Ion Calculations'!$F$18+'AA Exact Masses'!$Q$3+'AA Exact Masses'!$Q$3-'Mass Ion Calculations'!$E$28-'Mass Ion Calculations'!$E28)/2-'Mass Ion Calculations'!$D$5),IF('Mass Ion Calculations'!$D$7="Yes", ('Mass Ion Calculations'!$D$15+'AA Exact Masses'!$Q$3+'AA Exact Masses'!$Q$3-'Mass Ion Calculations'!$C$28-'Mass Ion Calculations'!$C28)/2-'Mass Ion Calculations'!$D$5,('Mass Ion Calculations'!$F$15+'AA Exact Masses'!$Q$3+'AA Exact Masses'!$Q$3-'Mass Ion Calculations'!$E$28-'Mass Ion Calculations'!$E28)/2-'Mass Ion Calculations'!$D$5)))</f>
        <v/>
      </c>
    </row>
    <row r="28" spans="2:26" x14ac:dyDescent="0.25">
      <c r="C28" s="3" t="str">
        <f>IF(OR($B28="",C$3=""),"",IF('Mass Ion Calculations'!$D$6="Yes",IF('Mass Ion Calculations'!$D$7="Yes",('Mass Ion Calculations'!$D$18+'AA Exact Masses'!$Q$3+'AA Exact Masses'!$Q$3-'Mass Ion Calculations'!$C$5-'Mass Ion Calculations'!$C29)/2-'Mass Ion Calculations'!$D$5,('Mass Ion Calculations'!$F$18+'AA Exact Masses'!$Q$3+'AA Exact Masses'!$Q$3-'Mass Ion Calculations'!$E$5-'Mass Ion Calculations'!$E29)/2-'Mass Ion Calculations'!$D$5),IF('Mass Ion Calculations'!$D$7="Yes", ('Mass Ion Calculations'!$D$15+'AA Exact Masses'!$Q$3+'AA Exact Masses'!$Q$3-'Mass Ion Calculations'!$C$5-'Mass Ion Calculations'!$C29)/2-'Mass Ion Calculations'!$D$5,('Mass Ion Calculations'!$F$15+'AA Exact Masses'!$Q$3+'AA Exact Masses'!$Q$3-'Mass Ion Calculations'!$E$5-'Mass Ion Calculations'!$E29)/2-'Mass Ion Calculations'!$D$5)))</f>
        <v/>
      </c>
      <c r="D28" s="3" t="str">
        <f>IF(OR($B28="",D$3=""),"",IF('Mass Ion Calculations'!$D$6="Yes",IF('Mass Ion Calculations'!$D$7="Yes",('Mass Ion Calculations'!$D$18+'AA Exact Masses'!$Q$3+'AA Exact Masses'!$Q$3-'Mass Ion Calculations'!$C$6-'Mass Ion Calculations'!$C29)/2-'Mass Ion Calculations'!$D$5,('Mass Ion Calculations'!$F$18+'AA Exact Masses'!$Q$3+'AA Exact Masses'!$Q$3-'Mass Ion Calculations'!$E$6-'Mass Ion Calculations'!$E29)/2-'Mass Ion Calculations'!$D$5),IF('Mass Ion Calculations'!$D$7="Yes", ('Mass Ion Calculations'!$D$15+'AA Exact Masses'!$Q$3+'AA Exact Masses'!$Q$3-'Mass Ion Calculations'!$C$6-'Mass Ion Calculations'!$C29)/2-'Mass Ion Calculations'!$D$5,('Mass Ion Calculations'!$F$15+'AA Exact Masses'!$Q$3+'AA Exact Masses'!$Q$3-'Mass Ion Calculations'!$E$6-'Mass Ion Calculations'!$E29)/2-'Mass Ion Calculations'!$D$5)))</f>
        <v/>
      </c>
      <c r="E28" s="3" t="str">
        <f>IF(OR($B28="",E$3=""),"",IF('Mass Ion Calculations'!$D$6="Yes",IF('Mass Ion Calculations'!$D$7="Yes",('Mass Ion Calculations'!$D$18+'AA Exact Masses'!$Q$3+'AA Exact Masses'!$Q$3-'Mass Ion Calculations'!$C$7-'Mass Ion Calculations'!$C29)/2-'Mass Ion Calculations'!$D$5,('Mass Ion Calculations'!$F$18+'AA Exact Masses'!$Q$3+'AA Exact Masses'!$Q$3-'Mass Ion Calculations'!$E$7-'Mass Ion Calculations'!$E29)/2-'Mass Ion Calculations'!$D$5),IF('Mass Ion Calculations'!$D$7="Yes", ('Mass Ion Calculations'!$D$15+'AA Exact Masses'!$Q$3+'AA Exact Masses'!$Q$3-'Mass Ion Calculations'!$C$7-'Mass Ion Calculations'!$C29)/2-'Mass Ion Calculations'!$D$5,('Mass Ion Calculations'!$F$15+'AA Exact Masses'!$Q$3+'AA Exact Masses'!$Q$3-'Mass Ion Calculations'!$E$7-'Mass Ion Calculations'!$E29)/2-'Mass Ion Calculations'!$D$5)))</f>
        <v/>
      </c>
      <c r="F28" s="3" t="str">
        <f>IF(OR($B28="",F$3=""),"",IF('Mass Ion Calculations'!$D$6="Yes",IF('Mass Ion Calculations'!$D$7="Yes",('Mass Ion Calculations'!$D$18+'AA Exact Masses'!$Q$3+'AA Exact Masses'!$Q$3-'Mass Ion Calculations'!$C$8-'Mass Ion Calculations'!$C29)/2-'Mass Ion Calculations'!$D$5,('Mass Ion Calculations'!$F$18+'AA Exact Masses'!$Q$3+'AA Exact Masses'!$Q$3-'Mass Ion Calculations'!$E$8-'Mass Ion Calculations'!$E29)/2-'Mass Ion Calculations'!$D$5),IF('Mass Ion Calculations'!$D$7="Yes", ('Mass Ion Calculations'!$D$15+'AA Exact Masses'!$Q$3+'AA Exact Masses'!$Q$3-'Mass Ion Calculations'!$C$8-'Mass Ion Calculations'!$C29)/2-'Mass Ion Calculations'!$D$5,('Mass Ion Calculations'!$F$15+'AA Exact Masses'!$Q$3+'AA Exact Masses'!$Q$3-'Mass Ion Calculations'!$E$8-'Mass Ion Calculations'!$E29)/2-'Mass Ion Calculations'!$D$5)))</f>
        <v/>
      </c>
      <c r="G28" s="3" t="str">
        <f>IF(OR($B28="",G$3=""),"",IF('Mass Ion Calculations'!$D$6="Yes",IF('Mass Ion Calculations'!$D$7="Yes",('Mass Ion Calculations'!$D$18+'AA Exact Masses'!$Q$3+'AA Exact Masses'!$Q$3-'Mass Ion Calculations'!$C$9-'Mass Ion Calculations'!$C29)/2-'Mass Ion Calculations'!$D$5,('Mass Ion Calculations'!$F$18+'AA Exact Masses'!$Q$3+'AA Exact Masses'!$Q$3-'Mass Ion Calculations'!$E$9-'Mass Ion Calculations'!$E29)/2-'Mass Ion Calculations'!$D$5),IF('Mass Ion Calculations'!$D$7="Yes", ('Mass Ion Calculations'!$D$15+'AA Exact Masses'!$Q$3+'AA Exact Masses'!$Q$3-'Mass Ion Calculations'!$C$9-'Mass Ion Calculations'!$C29)/2-'Mass Ion Calculations'!$D$5,('Mass Ion Calculations'!$F$15+'AA Exact Masses'!$Q$3+'AA Exact Masses'!$Q$3-'Mass Ion Calculations'!$E$9-'Mass Ion Calculations'!$E29)/2-'Mass Ion Calculations'!$D$5)))</f>
        <v/>
      </c>
      <c r="H28" s="3" t="str">
        <f>IF(OR($B28="",H$3=""),"",IF('Mass Ion Calculations'!$D$6="Yes",IF('Mass Ion Calculations'!$D$7="Yes",('Mass Ion Calculations'!$D$18+'AA Exact Masses'!$Q$3+'AA Exact Masses'!$Q$3-'Mass Ion Calculations'!$C$10-'Mass Ion Calculations'!$C29)/2-'Mass Ion Calculations'!$D$5,('Mass Ion Calculations'!$F$18+'AA Exact Masses'!$Q$3+'AA Exact Masses'!$Q$3-'Mass Ion Calculations'!$E$10-'Mass Ion Calculations'!$E29)/2-'Mass Ion Calculations'!$D$5),IF('Mass Ion Calculations'!$D$7="Yes", ('Mass Ion Calculations'!$D$15+'AA Exact Masses'!$Q$3+'AA Exact Masses'!$Q$3-'Mass Ion Calculations'!$C$10-'Mass Ion Calculations'!$C29)/2-'Mass Ion Calculations'!$D$5,('Mass Ion Calculations'!$F$15+'AA Exact Masses'!$Q$3+'AA Exact Masses'!$Q$3-'Mass Ion Calculations'!$E$10-'Mass Ion Calculations'!$E29)/2-'Mass Ion Calculations'!$D$5)))</f>
        <v/>
      </c>
      <c r="I28" s="3" t="str">
        <f>IF(OR($B28="",I$3=""),"",IF('Mass Ion Calculations'!$D$6="Yes",IF('Mass Ion Calculations'!$D$7="Yes",('Mass Ion Calculations'!$D$18+'AA Exact Masses'!$Q$3+'AA Exact Masses'!$Q$3-'Mass Ion Calculations'!$C$11-'Mass Ion Calculations'!$C29)/2-'Mass Ion Calculations'!$D$5,('Mass Ion Calculations'!$F$18+'AA Exact Masses'!$Q$3+'AA Exact Masses'!$Q$3-'Mass Ion Calculations'!$E$11-'Mass Ion Calculations'!$E29)/2-'Mass Ion Calculations'!$D$5),IF('Mass Ion Calculations'!$D$7="Yes", ('Mass Ion Calculations'!$D$15+'AA Exact Masses'!$Q$3+'AA Exact Masses'!$Q$3-'Mass Ion Calculations'!$C$11-'Mass Ion Calculations'!$C29)/2-'Mass Ion Calculations'!$D$5,('Mass Ion Calculations'!$F$15+'AA Exact Masses'!$Q$3+'AA Exact Masses'!$Q$3-'Mass Ion Calculations'!$E$11-'Mass Ion Calculations'!$E29)/2-'Mass Ion Calculations'!$D$5)))</f>
        <v/>
      </c>
      <c r="J28" s="3" t="str">
        <f>IF(OR($B28="",J$3=""),"",IF('Mass Ion Calculations'!$D$6="Yes",IF('Mass Ion Calculations'!$D$7="Yes",('Mass Ion Calculations'!$D$18+'AA Exact Masses'!$Q$3+'AA Exact Masses'!$Q$3-'Mass Ion Calculations'!$C$12-'Mass Ion Calculations'!$C29)/2-'Mass Ion Calculations'!$D$5,('Mass Ion Calculations'!$F$18+'AA Exact Masses'!$Q$3+'AA Exact Masses'!$Q$3-'Mass Ion Calculations'!$E$12-'Mass Ion Calculations'!$E29)/2-'Mass Ion Calculations'!$D$5),IF('Mass Ion Calculations'!$D$7="Yes", ('Mass Ion Calculations'!$D$15+'AA Exact Masses'!$Q$3+'AA Exact Masses'!$Q$3-'Mass Ion Calculations'!$C$12-'Mass Ion Calculations'!$C29)/2-'Mass Ion Calculations'!$D$5,('Mass Ion Calculations'!$F$15+'AA Exact Masses'!$Q$3+'AA Exact Masses'!$Q$3-'Mass Ion Calculations'!$E$12-'Mass Ion Calculations'!$E29)/2-'Mass Ion Calculations'!$D$5)))</f>
        <v/>
      </c>
      <c r="K28" s="3" t="str">
        <f>IF(OR($B28="",K$3=""),"",IF('Mass Ion Calculations'!$D$6="Yes",IF('Mass Ion Calculations'!$D$7="Yes",('Mass Ion Calculations'!$D$18+'AA Exact Masses'!$Q$3+'AA Exact Masses'!$Q$3-'Mass Ion Calculations'!$C$13-'Mass Ion Calculations'!$C29)/2-'Mass Ion Calculations'!$D$5,('Mass Ion Calculations'!$F$18+'AA Exact Masses'!$Q$3+'AA Exact Masses'!$Q$3-'Mass Ion Calculations'!$E$13-'Mass Ion Calculations'!$E29)/2-'Mass Ion Calculations'!$D$5),IF('Mass Ion Calculations'!$D$7="Yes", ('Mass Ion Calculations'!$D$15+'AA Exact Masses'!$Q$3+'AA Exact Masses'!$Q$3-'Mass Ion Calculations'!$C$13-'Mass Ion Calculations'!$C29)/2-'Mass Ion Calculations'!$D$5,('Mass Ion Calculations'!$F$15+'AA Exact Masses'!$Q$3+'AA Exact Masses'!$Q$3-'Mass Ion Calculations'!$E$13-'Mass Ion Calculations'!$E29)/2-'Mass Ion Calculations'!$D$5)))</f>
        <v/>
      </c>
      <c r="L28" s="3" t="str">
        <f>IF(OR($B28="",L$3=""),"",IF('Mass Ion Calculations'!$D$6="Yes",IF('Mass Ion Calculations'!$D$7="Yes",('Mass Ion Calculations'!$D$18+'AA Exact Masses'!$Q$3+'AA Exact Masses'!$Q$3-'Mass Ion Calculations'!$C$14-'Mass Ion Calculations'!$C29)/2-'Mass Ion Calculations'!$D$5,('Mass Ion Calculations'!$F$18+'AA Exact Masses'!$Q$3+'AA Exact Masses'!$Q$3-'Mass Ion Calculations'!$E$14-'Mass Ion Calculations'!$E29)/2-'Mass Ion Calculations'!$D$5),IF('Mass Ion Calculations'!$D$7="Yes", ('Mass Ion Calculations'!$D$15+'AA Exact Masses'!$Q$3+'AA Exact Masses'!$Q$3-'Mass Ion Calculations'!$C$14-'Mass Ion Calculations'!$C29)/2-'Mass Ion Calculations'!$D$5,('Mass Ion Calculations'!$F$15+'AA Exact Masses'!$Q$3+'AA Exact Masses'!$Q$3-'Mass Ion Calculations'!$E$14-'Mass Ion Calculations'!$E29)/2-'Mass Ion Calculations'!$D$5)))</f>
        <v/>
      </c>
      <c r="M28" s="3" t="str">
        <f>IF(OR($B28="",M$3=""),"",IF('Mass Ion Calculations'!$D$6="Yes",IF('Mass Ion Calculations'!$D$7="Yes",('Mass Ion Calculations'!$D$18+'AA Exact Masses'!$Q$3+'AA Exact Masses'!$Q$3-'Mass Ion Calculations'!$C$15-'Mass Ion Calculations'!$C29)/2-'Mass Ion Calculations'!$D$5,('Mass Ion Calculations'!$F$18+'AA Exact Masses'!$Q$3+'AA Exact Masses'!$Q$3-'Mass Ion Calculations'!$E$15-'Mass Ion Calculations'!$E29)/2-'Mass Ion Calculations'!$D$5),IF('Mass Ion Calculations'!$D$7="Yes", ('Mass Ion Calculations'!$D$15+'AA Exact Masses'!$Q$3+'AA Exact Masses'!$Q$3-'Mass Ion Calculations'!$C$15-'Mass Ion Calculations'!$C29)/2-'Mass Ion Calculations'!$D$5,('Mass Ion Calculations'!$F$15+'AA Exact Masses'!$Q$3+'AA Exact Masses'!$Q$3-'Mass Ion Calculations'!$E$15-'Mass Ion Calculations'!$E29)/2-'Mass Ion Calculations'!$D$5)))</f>
        <v/>
      </c>
      <c r="N28" s="3" t="str">
        <f>IF(OR($B28="",N$3=""),"",IF('Mass Ion Calculations'!$D$6="Yes",IF('Mass Ion Calculations'!$D$7="Yes",('Mass Ion Calculations'!$D$18+'AA Exact Masses'!$Q$3+'AA Exact Masses'!$Q$3-'Mass Ion Calculations'!$C$16-'Mass Ion Calculations'!$C29)/2-'Mass Ion Calculations'!$D$5,('Mass Ion Calculations'!$F$18+'AA Exact Masses'!$Q$3+'AA Exact Masses'!$Q$3-'Mass Ion Calculations'!$E$16-'Mass Ion Calculations'!$E29)/2-'Mass Ion Calculations'!$D$5),IF('Mass Ion Calculations'!$D$7="Yes", ('Mass Ion Calculations'!$D$15+'AA Exact Masses'!$Q$3+'AA Exact Masses'!$Q$3-'Mass Ion Calculations'!$C$16-'Mass Ion Calculations'!$C29)/2-'Mass Ion Calculations'!$D$5,('Mass Ion Calculations'!$F$15+'AA Exact Masses'!$Q$3+'AA Exact Masses'!$Q$3-'Mass Ion Calculations'!$E$16-'Mass Ion Calculations'!$E29)/2-'Mass Ion Calculations'!$D$5)))</f>
        <v/>
      </c>
      <c r="O28" s="3" t="str">
        <f>IF(OR($B28="",O$3=""),"",IF('Mass Ion Calculations'!$D$6="Yes",IF('Mass Ion Calculations'!$D$7="Yes",('Mass Ion Calculations'!$D$18+'AA Exact Masses'!$Q$3+'AA Exact Masses'!$Q$3-'Mass Ion Calculations'!$C$17-'Mass Ion Calculations'!$C29)/2-'Mass Ion Calculations'!$D$5,('Mass Ion Calculations'!$F$18+'AA Exact Masses'!$Q$3+'AA Exact Masses'!$Q$3-'Mass Ion Calculations'!$E$17-'Mass Ion Calculations'!$E29)/2-'Mass Ion Calculations'!$D$5),IF('Mass Ion Calculations'!$D$7="Yes", ('Mass Ion Calculations'!$D$15+'AA Exact Masses'!$Q$3+'AA Exact Masses'!$Q$3-'Mass Ion Calculations'!$C$17-'Mass Ion Calculations'!$C29)/2-'Mass Ion Calculations'!$D$5,('Mass Ion Calculations'!$F$15+'AA Exact Masses'!$Q$3+'AA Exact Masses'!$Q$3-'Mass Ion Calculations'!$E$17-'Mass Ion Calculations'!$E29)/2-'Mass Ion Calculations'!$D$5)))</f>
        <v/>
      </c>
      <c r="P28" s="3" t="str">
        <f>IF(OR($B28="",P$3=""),"",IF('Mass Ion Calculations'!$D$6="Yes",IF('Mass Ion Calculations'!$D$7="Yes",('Mass Ion Calculations'!$D$18+'AA Exact Masses'!$Q$3+'AA Exact Masses'!$Q$3-'Mass Ion Calculations'!$C$18-'Mass Ion Calculations'!$C29)/2-'Mass Ion Calculations'!$D$5,('Mass Ion Calculations'!$F$18+'AA Exact Masses'!$Q$3+'AA Exact Masses'!$Q$3-'Mass Ion Calculations'!$E$18-'Mass Ion Calculations'!$E29)/2-'Mass Ion Calculations'!$D$5),IF('Mass Ion Calculations'!$D$7="Yes", ('Mass Ion Calculations'!$D$15+'AA Exact Masses'!$Q$3+'AA Exact Masses'!$Q$3-'Mass Ion Calculations'!$C$18-'Mass Ion Calculations'!$C29)/2-'Mass Ion Calculations'!$D$5,('Mass Ion Calculations'!$F$15+'AA Exact Masses'!$Q$3+'AA Exact Masses'!$Q$3-'Mass Ion Calculations'!$E$18-'Mass Ion Calculations'!$E29)/2-'Mass Ion Calculations'!$D$5)))</f>
        <v/>
      </c>
      <c r="Q28" s="3" t="str">
        <f>IF(OR($B28="",Q$3=""),"",IF('Mass Ion Calculations'!$D$6="Yes",IF('Mass Ion Calculations'!$D$7="Yes",('Mass Ion Calculations'!$D$18+'AA Exact Masses'!$Q$3+'AA Exact Masses'!$Q$3-'Mass Ion Calculations'!$C$19-'Mass Ion Calculations'!$C29)/2-'Mass Ion Calculations'!$D$5,('Mass Ion Calculations'!$F$18+'AA Exact Masses'!$Q$3+'AA Exact Masses'!$Q$3-'Mass Ion Calculations'!$E$19-'Mass Ion Calculations'!$E29)/2-'Mass Ion Calculations'!$D$5),IF('Mass Ion Calculations'!$D$7="Yes", ('Mass Ion Calculations'!$D$15+'AA Exact Masses'!$Q$3+'AA Exact Masses'!$Q$3-'Mass Ion Calculations'!$C$19-'Mass Ion Calculations'!$C29)/2-'Mass Ion Calculations'!$D$5,('Mass Ion Calculations'!$F$15+'AA Exact Masses'!$Q$3+'AA Exact Masses'!$Q$3-'Mass Ion Calculations'!$E$19-'Mass Ion Calculations'!$E29)/2-'Mass Ion Calculations'!$D$5)))</f>
        <v/>
      </c>
      <c r="R28" s="3" t="str">
        <f>IF(OR($B28="",R$3=""),"",IF('Mass Ion Calculations'!$D$6="Yes",IF('Mass Ion Calculations'!$D$7="Yes",('Mass Ion Calculations'!$D$18+'AA Exact Masses'!$Q$3+'AA Exact Masses'!$Q$3-'Mass Ion Calculations'!$C$20-'Mass Ion Calculations'!$C29)/2-'Mass Ion Calculations'!$D$5,('Mass Ion Calculations'!$F$18+'AA Exact Masses'!$Q$3+'AA Exact Masses'!$Q$3-'Mass Ion Calculations'!$E$20-'Mass Ion Calculations'!$E29)/2-'Mass Ion Calculations'!$D$5),IF('Mass Ion Calculations'!$D$7="Yes", ('Mass Ion Calculations'!$D$15+'AA Exact Masses'!$Q$3+'AA Exact Masses'!$Q$3-'Mass Ion Calculations'!$C$20-'Mass Ion Calculations'!$C29)/2-'Mass Ion Calculations'!$D$5,('Mass Ion Calculations'!$F$15+'AA Exact Masses'!$Q$3+'AA Exact Masses'!$Q$3-'Mass Ion Calculations'!$E$20-'Mass Ion Calculations'!$E29)/2-'Mass Ion Calculations'!$D$5)))</f>
        <v/>
      </c>
      <c r="S28" s="3" t="str">
        <f>IF(OR($B28="",S$3=""),"",IF('Mass Ion Calculations'!$D$6="Yes",IF('Mass Ion Calculations'!$D$7="Yes",('Mass Ion Calculations'!$D$18+'AA Exact Masses'!$Q$3+'AA Exact Masses'!$Q$3-'Mass Ion Calculations'!$C$21-'Mass Ion Calculations'!$C29)/2-'Mass Ion Calculations'!$D$5,('Mass Ion Calculations'!$F$18+'AA Exact Masses'!$Q$3+'AA Exact Masses'!$Q$3-'Mass Ion Calculations'!$E$21-'Mass Ion Calculations'!$E29)/2-'Mass Ion Calculations'!$D$5),IF('Mass Ion Calculations'!$D$7="Yes", ('Mass Ion Calculations'!$D$15+'AA Exact Masses'!$Q$3+'AA Exact Masses'!$Q$3-'Mass Ion Calculations'!$C$21-'Mass Ion Calculations'!$C29)/2-'Mass Ion Calculations'!$D$5,('Mass Ion Calculations'!$F$15+'AA Exact Masses'!$Q$3+'AA Exact Masses'!$Q$3-'Mass Ion Calculations'!$E$21-'Mass Ion Calculations'!$E29)/2-'Mass Ion Calculations'!$D$5)))</f>
        <v/>
      </c>
      <c r="T28" s="3" t="str">
        <f>IF(OR($B28="",T$3=""),"",IF('Mass Ion Calculations'!$D$6="Yes",IF('Mass Ion Calculations'!$D$7="Yes",('Mass Ion Calculations'!$D$18+'AA Exact Masses'!$Q$3+'AA Exact Masses'!$Q$3-'Mass Ion Calculations'!$C$22-'Mass Ion Calculations'!$C29)/2-'Mass Ion Calculations'!$D$5,('Mass Ion Calculations'!$F$18+'AA Exact Masses'!$Q$3+'AA Exact Masses'!$Q$3-'Mass Ion Calculations'!$E$22-'Mass Ion Calculations'!$E29)/2-'Mass Ion Calculations'!$D$5),IF('Mass Ion Calculations'!$D$7="Yes", ('Mass Ion Calculations'!$D$15+'AA Exact Masses'!$Q$3+'AA Exact Masses'!$Q$3-'Mass Ion Calculations'!$C$22-'Mass Ion Calculations'!$C29)/2-'Mass Ion Calculations'!$D$5,('Mass Ion Calculations'!$F$15+'AA Exact Masses'!$Q$3+'AA Exact Masses'!$Q$3-'Mass Ion Calculations'!$E$22-'Mass Ion Calculations'!$E29)/2-'Mass Ion Calculations'!$D$5)))</f>
        <v/>
      </c>
      <c r="U28" s="3" t="str">
        <f>IF(OR($B28="",U$3=""),"",IF('Mass Ion Calculations'!$D$6="Yes",IF('Mass Ion Calculations'!$D$7="Yes",('Mass Ion Calculations'!$D$18+'AA Exact Masses'!$Q$3+'AA Exact Masses'!$Q$3-'Mass Ion Calculations'!$C$23-'Mass Ion Calculations'!$C29)/2-'Mass Ion Calculations'!$D$5,('Mass Ion Calculations'!$F$18+'AA Exact Masses'!$Q$3+'AA Exact Masses'!$Q$3-'Mass Ion Calculations'!$E$23-'Mass Ion Calculations'!$E29)/2-'Mass Ion Calculations'!$D$5),IF('Mass Ion Calculations'!$D$7="Yes", ('Mass Ion Calculations'!$D$15+'AA Exact Masses'!$Q$3+'AA Exact Masses'!$Q$3-'Mass Ion Calculations'!$C$23-'Mass Ion Calculations'!$C29)/2-'Mass Ion Calculations'!$D$5,('Mass Ion Calculations'!$F$15+'AA Exact Masses'!$Q$3+'AA Exact Masses'!$Q$3-'Mass Ion Calculations'!$E$23-'Mass Ion Calculations'!$E29)/2-'Mass Ion Calculations'!$D$5)))</f>
        <v/>
      </c>
      <c r="V28" s="3" t="str">
        <f>IF(OR($B28="",V$3=""),"",IF('Mass Ion Calculations'!$D$6="Yes",IF('Mass Ion Calculations'!$D$7="Yes",('Mass Ion Calculations'!$D$18+'AA Exact Masses'!$Q$3+'AA Exact Masses'!$Q$3-'Mass Ion Calculations'!$C$24-'Mass Ion Calculations'!$C29)/2-'Mass Ion Calculations'!$D$5,('Mass Ion Calculations'!$F$18+'AA Exact Masses'!$Q$3+'AA Exact Masses'!$Q$3-'Mass Ion Calculations'!$E$24-'Mass Ion Calculations'!$E29)/2-'Mass Ion Calculations'!$D$5),IF('Mass Ion Calculations'!$D$7="Yes", ('Mass Ion Calculations'!$D$15+'AA Exact Masses'!$Q$3+'AA Exact Masses'!$Q$3-'Mass Ion Calculations'!$C$24-'Mass Ion Calculations'!$C29)/2-'Mass Ion Calculations'!$D$5,('Mass Ion Calculations'!$F$15+'AA Exact Masses'!$Q$3+'AA Exact Masses'!$Q$3-'Mass Ion Calculations'!$E$24-'Mass Ion Calculations'!$E29)/2-'Mass Ion Calculations'!$D$5)))</f>
        <v/>
      </c>
      <c r="W28" s="3" t="str">
        <f>IF(OR($B28="",W$3=""),"",IF('Mass Ion Calculations'!$D$6="Yes",IF('Mass Ion Calculations'!$D$7="Yes",('Mass Ion Calculations'!$D$18+'AA Exact Masses'!$Q$3+'AA Exact Masses'!$Q$3-'Mass Ion Calculations'!$C$25-'Mass Ion Calculations'!$C29)/2-'Mass Ion Calculations'!$D$5,('Mass Ion Calculations'!$F$18+'AA Exact Masses'!$Q$3+'AA Exact Masses'!$Q$3-'Mass Ion Calculations'!$E$25-'Mass Ion Calculations'!$E29)/2-'Mass Ion Calculations'!$D$5),IF('Mass Ion Calculations'!$D$7="Yes", ('Mass Ion Calculations'!$D$15+'AA Exact Masses'!$Q$3+'AA Exact Masses'!$Q$3-'Mass Ion Calculations'!$C$25-'Mass Ion Calculations'!$C29)/2-'Mass Ion Calculations'!$D$5,('Mass Ion Calculations'!$F$15+'AA Exact Masses'!$Q$3+'AA Exact Masses'!$Q$3-'Mass Ion Calculations'!$E$25-'Mass Ion Calculations'!$E29)/2-'Mass Ion Calculations'!$D$5)))</f>
        <v/>
      </c>
      <c r="X28" s="3" t="str">
        <f>IF(OR($B28="",X$3=""),"",IF('Mass Ion Calculations'!$D$6="Yes",IF('Mass Ion Calculations'!$D$7="Yes",('Mass Ion Calculations'!$D$18+'AA Exact Masses'!$Q$3+'AA Exact Masses'!$Q$3-'Mass Ion Calculations'!$C$26-'Mass Ion Calculations'!$C29)/2-'Mass Ion Calculations'!$D$5,('Mass Ion Calculations'!$F$18+'AA Exact Masses'!$Q$3+'AA Exact Masses'!$Q$3-'Mass Ion Calculations'!$E$26-'Mass Ion Calculations'!$E29)/2-'Mass Ion Calculations'!$D$5),IF('Mass Ion Calculations'!$D$7="Yes", ('Mass Ion Calculations'!$D$15+'AA Exact Masses'!$Q$3+'AA Exact Masses'!$Q$3-'Mass Ion Calculations'!$C$26-'Mass Ion Calculations'!$C29)/2-'Mass Ion Calculations'!$D$5,('Mass Ion Calculations'!$F$15+'AA Exact Masses'!$Q$3+'AA Exact Masses'!$Q$3-'Mass Ion Calculations'!$E$26-'Mass Ion Calculations'!$E29)/2-'Mass Ion Calculations'!$D$5)))</f>
        <v/>
      </c>
      <c r="Y28" s="3" t="str">
        <f>IF(OR($B28="",Y$3=""),"",IF('Mass Ion Calculations'!$D$6="Yes",IF('Mass Ion Calculations'!$D$7="Yes",('Mass Ion Calculations'!$D$18+'AA Exact Masses'!$Q$3+'AA Exact Masses'!$Q$3-'Mass Ion Calculations'!$C$27-'Mass Ion Calculations'!$C29)/2-'Mass Ion Calculations'!$D$5,('Mass Ion Calculations'!$F$18+'AA Exact Masses'!$Q$3+'AA Exact Masses'!$Q$3-'Mass Ion Calculations'!$E$27-'Mass Ion Calculations'!$E29)/2-'Mass Ion Calculations'!$D$5),IF('Mass Ion Calculations'!$D$7="Yes", ('Mass Ion Calculations'!$D$15+'AA Exact Masses'!$Q$3+'AA Exact Masses'!$Q$3-'Mass Ion Calculations'!$C$27-'Mass Ion Calculations'!$C29)/2-'Mass Ion Calculations'!$D$5,('Mass Ion Calculations'!$F$15+'AA Exact Masses'!$Q$3+'AA Exact Masses'!$Q$3-'Mass Ion Calculations'!$E$27-'Mass Ion Calculations'!$E29)/2-'Mass Ion Calculations'!$D$5)))</f>
        <v/>
      </c>
      <c r="Z28" s="3" t="str">
        <f>IF(OR($B28="",Z$3=""),"",IF('Mass Ion Calculations'!$D$6="Yes",IF('Mass Ion Calculations'!$D$7="Yes",('Mass Ion Calculations'!$D$18+'AA Exact Masses'!$Q$3+'AA Exact Masses'!$Q$3-'Mass Ion Calculations'!$C$28-'Mass Ion Calculations'!$C29)/2-'Mass Ion Calculations'!$D$5,('Mass Ion Calculations'!$F$18+'AA Exact Masses'!$Q$3+'AA Exact Masses'!$Q$3-'Mass Ion Calculations'!$E$28-'Mass Ion Calculations'!$E29)/2-'Mass Ion Calculations'!$D$5),IF('Mass Ion Calculations'!$D$7="Yes", ('Mass Ion Calculations'!$D$15+'AA Exact Masses'!$Q$3+'AA Exact Masses'!$Q$3-'Mass Ion Calculations'!$C$28-'Mass Ion Calculations'!$C29)/2-'Mass Ion Calculations'!$D$5,('Mass Ion Calculations'!$F$15+'AA Exact Masses'!$Q$3+'AA Exact Masses'!$Q$3-'Mass Ion Calculations'!$E$28-'Mass Ion Calculations'!$E29)/2-'Mass Ion Calculations'!$D$5)))</f>
        <v/>
      </c>
    </row>
    <row r="29" spans="2:26" x14ac:dyDescent="0.25">
      <c r="C29" s="3" t="str">
        <f>IF(OR($B29="",C$3=""),"",IF('Mass Ion Calculations'!$D$6="Yes",IF('Mass Ion Calculations'!$D$7="Yes",('Mass Ion Calculations'!$D$18+'AA Exact Masses'!$Q$3+'AA Exact Masses'!$Q$3-'Mass Ion Calculations'!$C$5-'Mass Ion Calculations'!$C30)/2-'Mass Ion Calculations'!$D$5,('Mass Ion Calculations'!$F$18+'AA Exact Masses'!$Q$3+'AA Exact Masses'!$Q$3-'Mass Ion Calculations'!$E$5-'Mass Ion Calculations'!$E30)/2-'Mass Ion Calculations'!$D$5),IF('Mass Ion Calculations'!$D$7="Yes", ('Mass Ion Calculations'!$D$15+'AA Exact Masses'!$Q$3+'AA Exact Masses'!$Q$3-'Mass Ion Calculations'!$C$5-'Mass Ion Calculations'!$C30)/2-'Mass Ion Calculations'!$D$5,('Mass Ion Calculations'!$F$15+'AA Exact Masses'!$Q$3+'AA Exact Masses'!$Q$3-'Mass Ion Calculations'!$E$5-'Mass Ion Calculations'!$E30)/2-'Mass Ion Calculations'!$D$5)))</f>
        <v/>
      </c>
      <c r="D29" s="3" t="str">
        <f>IF(OR($B29="",D$3=""),"",IF('Mass Ion Calculations'!$D$6="Yes",IF('Mass Ion Calculations'!$D$7="Yes",('Mass Ion Calculations'!$D$18+'AA Exact Masses'!$Q$3+'AA Exact Masses'!$Q$3-'Mass Ion Calculations'!$C$6-'Mass Ion Calculations'!$C30)/2-'Mass Ion Calculations'!$D$5,('Mass Ion Calculations'!$F$18+'AA Exact Masses'!$Q$3+'AA Exact Masses'!$Q$3-'Mass Ion Calculations'!$E$6-'Mass Ion Calculations'!$E30)/2-'Mass Ion Calculations'!$D$5),IF('Mass Ion Calculations'!$D$7="Yes", ('Mass Ion Calculations'!$D$15+'AA Exact Masses'!$Q$3+'AA Exact Masses'!$Q$3-'Mass Ion Calculations'!$C$6-'Mass Ion Calculations'!$C30)/2-'Mass Ion Calculations'!$D$5,('Mass Ion Calculations'!$F$15+'AA Exact Masses'!$Q$3+'AA Exact Masses'!$Q$3-'Mass Ion Calculations'!$E$6-'Mass Ion Calculations'!$E30)/2-'Mass Ion Calculations'!$D$5)))</f>
        <v/>
      </c>
      <c r="E29" s="3" t="str">
        <f>IF(OR($B29="",E$3=""),"",IF('Mass Ion Calculations'!$D$6="Yes",IF('Mass Ion Calculations'!$D$7="Yes",('Mass Ion Calculations'!$D$18+'AA Exact Masses'!$Q$3+'AA Exact Masses'!$Q$3-'Mass Ion Calculations'!$C$7-'Mass Ion Calculations'!$C30)/2-'Mass Ion Calculations'!$D$5,('Mass Ion Calculations'!$F$18+'AA Exact Masses'!$Q$3+'AA Exact Masses'!$Q$3-'Mass Ion Calculations'!$E$7-'Mass Ion Calculations'!$E30)/2-'Mass Ion Calculations'!$D$5),IF('Mass Ion Calculations'!$D$7="Yes", ('Mass Ion Calculations'!$D$15+'AA Exact Masses'!$Q$3+'AA Exact Masses'!$Q$3-'Mass Ion Calculations'!$C$7-'Mass Ion Calculations'!$C30)/2-'Mass Ion Calculations'!$D$5,('Mass Ion Calculations'!$F$15+'AA Exact Masses'!$Q$3+'AA Exact Masses'!$Q$3-'Mass Ion Calculations'!$E$7-'Mass Ion Calculations'!$E30)/2-'Mass Ion Calculations'!$D$5)))</f>
        <v/>
      </c>
      <c r="F29" s="3" t="str">
        <f>IF(OR($B29="",F$3=""),"",IF('Mass Ion Calculations'!$D$6="Yes",IF('Mass Ion Calculations'!$D$7="Yes",('Mass Ion Calculations'!$D$18+'AA Exact Masses'!$Q$3+'AA Exact Masses'!$Q$3-'Mass Ion Calculations'!$C$8-'Mass Ion Calculations'!$C30)/2-'Mass Ion Calculations'!$D$5,('Mass Ion Calculations'!$F$18+'AA Exact Masses'!$Q$3+'AA Exact Masses'!$Q$3-'Mass Ion Calculations'!$E$8-'Mass Ion Calculations'!$E30)/2-'Mass Ion Calculations'!$D$5),IF('Mass Ion Calculations'!$D$7="Yes", ('Mass Ion Calculations'!$D$15+'AA Exact Masses'!$Q$3+'AA Exact Masses'!$Q$3-'Mass Ion Calculations'!$C$8-'Mass Ion Calculations'!$C30)/2-'Mass Ion Calculations'!$D$5,('Mass Ion Calculations'!$F$15+'AA Exact Masses'!$Q$3+'AA Exact Masses'!$Q$3-'Mass Ion Calculations'!$E$8-'Mass Ion Calculations'!$E30)/2-'Mass Ion Calculations'!$D$5)))</f>
        <v/>
      </c>
      <c r="G29" s="3" t="str">
        <f>IF(OR($B29="",G$3=""),"",IF('Mass Ion Calculations'!$D$6="Yes",IF('Mass Ion Calculations'!$D$7="Yes",('Mass Ion Calculations'!$D$18+'AA Exact Masses'!$Q$3+'AA Exact Masses'!$Q$3-'Mass Ion Calculations'!$C$9-'Mass Ion Calculations'!$C30)/2-'Mass Ion Calculations'!$D$5,('Mass Ion Calculations'!$F$18+'AA Exact Masses'!$Q$3+'AA Exact Masses'!$Q$3-'Mass Ion Calculations'!$E$9-'Mass Ion Calculations'!$E30)/2-'Mass Ion Calculations'!$D$5),IF('Mass Ion Calculations'!$D$7="Yes", ('Mass Ion Calculations'!$D$15+'AA Exact Masses'!$Q$3+'AA Exact Masses'!$Q$3-'Mass Ion Calculations'!$C$9-'Mass Ion Calculations'!$C30)/2-'Mass Ion Calculations'!$D$5,('Mass Ion Calculations'!$F$15+'AA Exact Masses'!$Q$3+'AA Exact Masses'!$Q$3-'Mass Ion Calculations'!$E$9-'Mass Ion Calculations'!$E30)/2-'Mass Ion Calculations'!$D$5)))</f>
        <v/>
      </c>
      <c r="H29" s="3" t="str">
        <f>IF(OR($B29="",H$3=""),"",IF('Mass Ion Calculations'!$D$6="Yes",IF('Mass Ion Calculations'!$D$7="Yes",('Mass Ion Calculations'!$D$18+'AA Exact Masses'!$Q$3+'AA Exact Masses'!$Q$3-'Mass Ion Calculations'!$C$10-'Mass Ion Calculations'!$C30)/2-'Mass Ion Calculations'!$D$5,('Mass Ion Calculations'!$F$18+'AA Exact Masses'!$Q$3+'AA Exact Masses'!$Q$3-'Mass Ion Calculations'!$E$10-'Mass Ion Calculations'!$E30)/2-'Mass Ion Calculations'!$D$5),IF('Mass Ion Calculations'!$D$7="Yes", ('Mass Ion Calculations'!$D$15+'AA Exact Masses'!$Q$3+'AA Exact Masses'!$Q$3-'Mass Ion Calculations'!$C$10-'Mass Ion Calculations'!$C30)/2-'Mass Ion Calculations'!$D$5,('Mass Ion Calculations'!$F$15+'AA Exact Masses'!$Q$3+'AA Exact Masses'!$Q$3-'Mass Ion Calculations'!$E$10-'Mass Ion Calculations'!$E30)/2-'Mass Ion Calculations'!$D$5)))</f>
        <v/>
      </c>
      <c r="I29" s="3" t="str">
        <f>IF(OR($B29="",I$3=""),"",IF('Mass Ion Calculations'!$D$6="Yes",IF('Mass Ion Calculations'!$D$7="Yes",('Mass Ion Calculations'!$D$18+'AA Exact Masses'!$Q$3+'AA Exact Masses'!$Q$3-'Mass Ion Calculations'!$C$11-'Mass Ion Calculations'!$C30)/2-'Mass Ion Calculations'!$D$5,('Mass Ion Calculations'!$F$18+'AA Exact Masses'!$Q$3+'AA Exact Masses'!$Q$3-'Mass Ion Calculations'!$E$11-'Mass Ion Calculations'!$E30)/2-'Mass Ion Calculations'!$D$5),IF('Mass Ion Calculations'!$D$7="Yes", ('Mass Ion Calculations'!$D$15+'AA Exact Masses'!$Q$3+'AA Exact Masses'!$Q$3-'Mass Ion Calculations'!$C$11-'Mass Ion Calculations'!$C30)/2-'Mass Ion Calculations'!$D$5,('Mass Ion Calculations'!$F$15+'AA Exact Masses'!$Q$3+'AA Exact Masses'!$Q$3-'Mass Ion Calculations'!$E$11-'Mass Ion Calculations'!$E30)/2-'Mass Ion Calculations'!$D$5)))</f>
        <v/>
      </c>
      <c r="J29" s="3" t="str">
        <f>IF(OR($B29="",J$3=""),"",IF('Mass Ion Calculations'!$D$6="Yes",IF('Mass Ion Calculations'!$D$7="Yes",('Mass Ion Calculations'!$D$18+'AA Exact Masses'!$Q$3+'AA Exact Masses'!$Q$3-'Mass Ion Calculations'!$C$12-'Mass Ion Calculations'!$C30)/2-'Mass Ion Calculations'!$D$5,('Mass Ion Calculations'!$F$18+'AA Exact Masses'!$Q$3+'AA Exact Masses'!$Q$3-'Mass Ion Calculations'!$E$12-'Mass Ion Calculations'!$E30)/2-'Mass Ion Calculations'!$D$5),IF('Mass Ion Calculations'!$D$7="Yes", ('Mass Ion Calculations'!$D$15+'AA Exact Masses'!$Q$3+'AA Exact Masses'!$Q$3-'Mass Ion Calculations'!$C$12-'Mass Ion Calculations'!$C30)/2-'Mass Ion Calculations'!$D$5,('Mass Ion Calculations'!$F$15+'AA Exact Masses'!$Q$3+'AA Exact Masses'!$Q$3-'Mass Ion Calculations'!$E$12-'Mass Ion Calculations'!$E30)/2-'Mass Ion Calculations'!$D$5)))</f>
        <v/>
      </c>
      <c r="K29" s="3" t="str">
        <f>IF(OR($B29="",K$3=""),"",IF('Mass Ion Calculations'!$D$6="Yes",IF('Mass Ion Calculations'!$D$7="Yes",('Mass Ion Calculations'!$D$18+'AA Exact Masses'!$Q$3+'AA Exact Masses'!$Q$3-'Mass Ion Calculations'!$C$13-'Mass Ion Calculations'!$C30)/2-'Mass Ion Calculations'!$D$5,('Mass Ion Calculations'!$F$18+'AA Exact Masses'!$Q$3+'AA Exact Masses'!$Q$3-'Mass Ion Calculations'!$E$13-'Mass Ion Calculations'!$E30)/2-'Mass Ion Calculations'!$D$5),IF('Mass Ion Calculations'!$D$7="Yes", ('Mass Ion Calculations'!$D$15+'AA Exact Masses'!$Q$3+'AA Exact Masses'!$Q$3-'Mass Ion Calculations'!$C$13-'Mass Ion Calculations'!$C30)/2-'Mass Ion Calculations'!$D$5,('Mass Ion Calculations'!$F$15+'AA Exact Masses'!$Q$3+'AA Exact Masses'!$Q$3-'Mass Ion Calculations'!$E$13-'Mass Ion Calculations'!$E30)/2-'Mass Ion Calculations'!$D$5)))</f>
        <v/>
      </c>
      <c r="L29" s="3" t="str">
        <f>IF(OR($B29="",L$3=""),"",IF('Mass Ion Calculations'!$D$6="Yes",IF('Mass Ion Calculations'!$D$7="Yes",('Mass Ion Calculations'!$D$18+'AA Exact Masses'!$Q$3+'AA Exact Masses'!$Q$3-'Mass Ion Calculations'!$C$14-'Mass Ion Calculations'!$C30)/2-'Mass Ion Calculations'!$D$5,('Mass Ion Calculations'!$F$18+'AA Exact Masses'!$Q$3+'AA Exact Masses'!$Q$3-'Mass Ion Calculations'!$E$14-'Mass Ion Calculations'!$E30)/2-'Mass Ion Calculations'!$D$5),IF('Mass Ion Calculations'!$D$7="Yes", ('Mass Ion Calculations'!$D$15+'AA Exact Masses'!$Q$3+'AA Exact Masses'!$Q$3-'Mass Ion Calculations'!$C$14-'Mass Ion Calculations'!$C30)/2-'Mass Ion Calculations'!$D$5,('Mass Ion Calculations'!$F$15+'AA Exact Masses'!$Q$3+'AA Exact Masses'!$Q$3-'Mass Ion Calculations'!$E$14-'Mass Ion Calculations'!$E30)/2-'Mass Ion Calculations'!$D$5)))</f>
        <v/>
      </c>
      <c r="M29" s="3" t="str">
        <f>IF(OR($B29="",M$3=""),"",IF('Mass Ion Calculations'!$D$6="Yes",IF('Mass Ion Calculations'!$D$7="Yes",('Mass Ion Calculations'!$D$18+'AA Exact Masses'!$Q$3+'AA Exact Masses'!$Q$3-'Mass Ion Calculations'!$C$15-'Mass Ion Calculations'!$C30)/2-'Mass Ion Calculations'!$D$5,('Mass Ion Calculations'!$F$18+'AA Exact Masses'!$Q$3+'AA Exact Masses'!$Q$3-'Mass Ion Calculations'!$E$15-'Mass Ion Calculations'!$E30)/2-'Mass Ion Calculations'!$D$5),IF('Mass Ion Calculations'!$D$7="Yes", ('Mass Ion Calculations'!$D$15+'AA Exact Masses'!$Q$3+'AA Exact Masses'!$Q$3-'Mass Ion Calculations'!$C$15-'Mass Ion Calculations'!$C30)/2-'Mass Ion Calculations'!$D$5,('Mass Ion Calculations'!$F$15+'AA Exact Masses'!$Q$3+'AA Exact Masses'!$Q$3-'Mass Ion Calculations'!$E$15-'Mass Ion Calculations'!$E30)/2-'Mass Ion Calculations'!$D$5)))</f>
        <v/>
      </c>
      <c r="N29" s="3" t="str">
        <f>IF(OR($B29="",N$3=""),"",IF('Mass Ion Calculations'!$D$6="Yes",IF('Mass Ion Calculations'!$D$7="Yes",('Mass Ion Calculations'!$D$18+'AA Exact Masses'!$Q$3+'AA Exact Masses'!$Q$3-'Mass Ion Calculations'!$C$16-'Mass Ion Calculations'!$C30)/2-'Mass Ion Calculations'!$D$5,('Mass Ion Calculations'!$F$18+'AA Exact Masses'!$Q$3+'AA Exact Masses'!$Q$3-'Mass Ion Calculations'!$E$16-'Mass Ion Calculations'!$E30)/2-'Mass Ion Calculations'!$D$5),IF('Mass Ion Calculations'!$D$7="Yes", ('Mass Ion Calculations'!$D$15+'AA Exact Masses'!$Q$3+'AA Exact Masses'!$Q$3-'Mass Ion Calculations'!$C$16-'Mass Ion Calculations'!$C30)/2-'Mass Ion Calculations'!$D$5,('Mass Ion Calculations'!$F$15+'AA Exact Masses'!$Q$3+'AA Exact Masses'!$Q$3-'Mass Ion Calculations'!$E$16-'Mass Ion Calculations'!$E30)/2-'Mass Ion Calculations'!$D$5)))</f>
        <v/>
      </c>
      <c r="O29" s="3" t="str">
        <f>IF(OR($B29="",O$3=""),"",IF('Mass Ion Calculations'!$D$6="Yes",IF('Mass Ion Calculations'!$D$7="Yes",('Mass Ion Calculations'!$D$18+'AA Exact Masses'!$Q$3+'AA Exact Masses'!$Q$3-'Mass Ion Calculations'!$C$17-'Mass Ion Calculations'!$C30)/2-'Mass Ion Calculations'!$D$5,('Mass Ion Calculations'!$F$18+'AA Exact Masses'!$Q$3+'AA Exact Masses'!$Q$3-'Mass Ion Calculations'!$E$17-'Mass Ion Calculations'!$E30)/2-'Mass Ion Calculations'!$D$5),IF('Mass Ion Calculations'!$D$7="Yes", ('Mass Ion Calculations'!$D$15+'AA Exact Masses'!$Q$3+'AA Exact Masses'!$Q$3-'Mass Ion Calculations'!$C$17-'Mass Ion Calculations'!$C30)/2-'Mass Ion Calculations'!$D$5,('Mass Ion Calculations'!$F$15+'AA Exact Masses'!$Q$3+'AA Exact Masses'!$Q$3-'Mass Ion Calculations'!$E$17-'Mass Ion Calculations'!$E30)/2-'Mass Ion Calculations'!$D$5)))</f>
        <v/>
      </c>
      <c r="P29" s="3" t="str">
        <f>IF(OR($B29="",P$3=""),"",IF('Mass Ion Calculations'!$D$6="Yes",IF('Mass Ion Calculations'!$D$7="Yes",('Mass Ion Calculations'!$D$18+'AA Exact Masses'!$Q$3+'AA Exact Masses'!$Q$3-'Mass Ion Calculations'!$C$18-'Mass Ion Calculations'!$C30)/2-'Mass Ion Calculations'!$D$5,('Mass Ion Calculations'!$F$18+'AA Exact Masses'!$Q$3+'AA Exact Masses'!$Q$3-'Mass Ion Calculations'!$E$18-'Mass Ion Calculations'!$E30)/2-'Mass Ion Calculations'!$D$5),IF('Mass Ion Calculations'!$D$7="Yes", ('Mass Ion Calculations'!$D$15+'AA Exact Masses'!$Q$3+'AA Exact Masses'!$Q$3-'Mass Ion Calculations'!$C$18-'Mass Ion Calculations'!$C30)/2-'Mass Ion Calculations'!$D$5,('Mass Ion Calculations'!$F$15+'AA Exact Masses'!$Q$3+'AA Exact Masses'!$Q$3-'Mass Ion Calculations'!$E$18-'Mass Ion Calculations'!$E30)/2-'Mass Ion Calculations'!$D$5)))</f>
        <v/>
      </c>
      <c r="Q29" s="3" t="str">
        <f>IF(OR($B29="",Q$3=""),"",IF('Mass Ion Calculations'!$D$6="Yes",IF('Mass Ion Calculations'!$D$7="Yes",('Mass Ion Calculations'!$D$18+'AA Exact Masses'!$Q$3+'AA Exact Masses'!$Q$3-'Mass Ion Calculations'!$C$19-'Mass Ion Calculations'!$C30)/2-'Mass Ion Calculations'!$D$5,('Mass Ion Calculations'!$F$18+'AA Exact Masses'!$Q$3+'AA Exact Masses'!$Q$3-'Mass Ion Calculations'!$E$19-'Mass Ion Calculations'!$E30)/2-'Mass Ion Calculations'!$D$5),IF('Mass Ion Calculations'!$D$7="Yes", ('Mass Ion Calculations'!$D$15+'AA Exact Masses'!$Q$3+'AA Exact Masses'!$Q$3-'Mass Ion Calculations'!$C$19-'Mass Ion Calculations'!$C30)/2-'Mass Ion Calculations'!$D$5,('Mass Ion Calculations'!$F$15+'AA Exact Masses'!$Q$3+'AA Exact Masses'!$Q$3-'Mass Ion Calculations'!$E$19-'Mass Ion Calculations'!$E30)/2-'Mass Ion Calculations'!$D$5)))</f>
        <v/>
      </c>
      <c r="R29" s="3" t="str">
        <f>IF(OR($B29="",R$3=""),"",IF('Mass Ion Calculations'!$D$6="Yes",IF('Mass Ion Calculations'!$D$7="Yes",('Mass Ion Calculations'!$D$18+'AA Exact Masses'!$Q$3+'AA Exact Masses'!$Q$3-'Mass Ion Calculations'!$C$20-'Mass Ion Calculations'!$C30)/2-'Mass Ion Calculations'!$D$5,('Mass Ion Calculations'!$F$18+'AA Exact Masses'!$Q$3+'AA Exact Masses'!$Q$3-'Mass Ion Calculations'!$E$20-'Mass Ion Calculations'!$E30)/2-'Mass Ion Calculations'!$D$5),IF('Mass Ion Calculations'!$D$7="Yes", ('Mass Ion Calculations'!$D$15+'AA Exact Masses'!$Q$3+'AA Exact Masses'!$Q$3-'Mass Ion Calculations'!$C$20-'Mass Ion Calculations'!$C30)/2-'Mass Ion Calculations'!$D$5,('Mass Ion Calculations'!$F$15+'AA Exact Masses'!$Q$3+'AA Exact Masses'!$Q$3-'Mass Ion Calculations'!$E$20-'Mass Ion Calculations'!$E30)/2-'Mass Ion Calculations'!$D$5)))</f>
        <v/>
      </c>
      <c r="S29" s="3" t="str">
        <f>IF(OR($B29="",S$3=""),"",IF('Mass Ion Calculations'!$D$6="Yes",IF('Mass Ion Calculations'!$D$7="Yes",('Mass Ion Calculations'!$D$18+'AA Exact Masses'!$Q$3+'AA Exact Masses'!$Q$3-'Mass Ion Calculations'!$C$21-'Mass Ion Calculations'!$C30)/2-'Mass Ion Calculations'!$D$5,('Mass Ion Calculations'!$F$18+'AA Exact Masses'!$Q$3+'AA Exact Masses'!$Q$3-'Mass Ion Calculations'!$E$21-'Mass Ion Calculations'!$E30)/2-'Mass Ion Calculations'!$D$5),IF('Mass Ion Calculations'!$D$7="Yes", ('Mass Ion Calculations'!$D$15+'AA Exact Masses'!$Q$3+'AA Exact Masses'!$Q$3-'Mass Ion Calculations'!$C$21-'Mass Ion Calculations'!$C30)/2-'Mass Ion Calculations'!$D$5,('Mass Ion Calculations'!$F$15+'AA Exact Masses'!$Q$3+'AA Exact Masses'!$Q$3-'Mass Ion Calculations'!$E$21-'Mass Ion Calculations'!$E30)/2-'Mass Ion Calculations'!$D$5)))</f>
        <v/>
      </c>
      <c r="T29" s="3" t="str">
        <f>IF(OR($B29="",T$3=""),"",IF('Mass Ion Calculations'!$D$6="Yes",IF('Mass Ion Calculations'!$D$7="Yes",('Mass Ion Calculations'!$D$18+'AA Exact Masses'!$Q$3+'AA Exact Masses'!$Q$3-'Mass Ion Calculations'!$C$22-'Mass Ion Calculations'!$C30)/2-'Mass Ion Calculations'!$D$5,('Mass Ion Calculations'!$F$18+'AA Exact Masses'!$Q$3+'AA Exact Masses'!$Q$3-'Mass Ion Calculations'!$E$22-'Mass Ion Calculations'!$E30)/2-'Mass Ion Calculations'!$D$5),IF('Mass Ion Calculations'!$D$7="Yes", ('Mass Ion Calculations'!$D$15+'AA Exact Masses'!$Q$3+'AA Exact Masses'!$Q$3-'Mass Ion Calculations'!$C$22-'Mass Ion Calculations'!$C30)/2-'Mass Ion Calculations'!$D$5,('Mass Ion Calculations'!$F$15+'AA Exact Masses'!$Q$3+'AA Exact Masses'!$Q$3-'Mass Ion Calculations'!$E$22-'Mass Ion Calculations'!$E30)/2-'Mass Ion Calculations'!$D$5)))</f>
        <v/>
      </c>
      <c r="U29" s="3" t="str">
        <f>IF(OR($B29="",U$3=""),"",IF('Mass Ion Calculations'!$D$6="Yes",IF('Mass Ion Calculations'!$D$7="Yes",('Mass Ion Calculations'!$D$18+'AA Exact Masses'!$Q$3+'AA Exact Masses'!$Q$3-'Mass Ion Calculations'!$C$23-'Mass Ion Calculations'!$C30)/2-'Mass Ion Calculations'!$D$5,('Mass Ion Calculations'!$F$18+'AA Exact Masses'!$Q$3+'AA Exact Masses'!$Q$3-'Mass Ion Calculations'!$E$23-'Mass Ion Calculations'!$E30)/2-'Mass Ion Calculations'!$D$5),IF('Mass Ion Calculations'!$D$7="Yes", ('Mass Ion Calculations'!$D$15+'AA Exact Masses'!$Q$3+'AA Exact Masses'!$Q$3-'Mass Ion Calculations'!$C$23-'Mass Ion Calculations'!$C30)/2-'Mass Ion Calculations'!$D$5,('Mass Ion Calculations'!$F$15+'AA Exact Masses'!$Q$3+'AA Exact Masses'!$Q$3-'Mass Ion Calculations'!$E$23-'Mass Ion Calculations'!$E30)/2-'Mass Ion Calculations'!$D$5)))</f>
        <v/>
      </c>
      <c r="V29" s="3" t="str">
        <f>IF(OR($B29="",V$3=""),"",IF('Mass Ion Calculations'!$D$6="Yes",IF('Mass Ion Calculations'!$D$7="Yes",('Mass Ion Calculations'!$D$18+'AA Exact Masses'!$Q$3+'AA Exact Masses'!$Q$3-'Mass Ion Calculations'!$C$24-'Mass Ion Calculations'!$C30)/2-'Mass Ion Calculations'!$D$5,('Mass Ion Calculations'!$F$18+'AA Exact Masses'!$Q$3+'AA Exact Masses'!$Q$3-'Mass Ion Calculations'!$E$24-'Mass Ion Calculations'!$E30)/2-'Mass Ion Calculations'!$D$5),IF('Mass Ion Calculations'!$D$7="Yes", ('Mass Ion Calculations'!$D$15+'AA Exact Masses'!$Q$3+'AA Exact Masses'!$Q$3-'Mass Ion Calculations'!$C$24-'Mass Ion Calculations'!$C30)/2-'Mass Ion Calculations'!$D$5,('Mass Ion Calculations'!$F$15+'AA Exact Masses'!$Q$3+'AA Exact Masses'!$Q$3-'Mass Ion Calculations'!$E$24-'Mass Ion Calculations'!$E30)/2-'Mass Ion Calculations'!$D$5)))</f>
        <v/>
      </c>
      <c r="W29" s="3" t="str">
        <f>IF(OR($B29="",W$3=""),"",IF('Mass Ion Calculations'!$D$6="Yes",IF('Mass Ion Calculations'!$D$7="Yes",('Mass Ion Calculations'!$D$18+'AA Exact Masses'!$Q$3+'AA Exact Masses'!$Q$3-'Mass Ion Calculations'!$C$25-'Mass Ion Calculations'!$C30)/2-'Mass Ion Calculations'!$D$5,('Mass Ion Calculations'!$F$18+'AA Exact Masses'!$Q$3+'AA Exact Masses'!$Q$3-'Mass Ion Calculations'!$E$25-'Mass Ion Calculations'!$E30)/2-'Mass Ion Calculations'!$D$5),IF('Mass Ion Calculations'!$D$7="Yes", ('Mass Ion Calculations'!$D$15+'AA Exact Masses'!$Q$3+'AA Exact Masses'!$Q$3-'Mass Ion Calculations'!$C$25-'Mass Ion Calculations'!$C30)/2-'Mass Ion Calculations'!$D$5,('Mass Ion Calculations'!$F$15+'AA Exact Masses'!$Q$3+'AA Exact Masses'!$Q$3-'Mass Ion Calculations'!$E$25-'Mass Ion Calculations'!$E30)/2-'Mass Ion Calculations'!$D$5)))</f>
        <v/>
      </c>
      <c r="X29" s="3" t="str">
        <f>IF(OR($B29="",X$3=""),"",IF('Mass Ion Calculations'!$D$6="Yes",IF('Mass Ion Calculations'!$D$7="Yes",('Mass Ion Calculations'!$D$18+'AA Exact Masses'!$Q$3+'AA Exact Masses'!$Q$3-'Mass Ion Calculations'!$C$26-'Mass Ion Calculations'!$C30)/2-'Mass Ion Calculations'!$D$5,('Mass Ion Calculations'!$F$18+'AA Exact Masses'!$Q$3+'AA Exact Masses'!$Q$3-'Mass Ion Calculations'!$E$26-'Mass Ion Calculations'!$E30)/2-'Mass Ion Calculations'!$D$5),IF('Mass Ion Calculations'!$D$7="Yes", ('Mass Ion Calculations'!$D$15+'AA Exact Masses'!$Q$3+'AA Exact Masses'!$Q$3-'Mass Ion Calculations'!$C$26-'Mass Ion Calculations'!$C30)/2-'Mass Ion Calculations'!$D$5,('Mass Ion Calculations'!$F$15+'AA Exact Masses'!$Q$3+'AA Exact Masses'!$Q$3-'Mass Ion Calculations'!$E$26-'Mass Ion Calculations'!$E30)/2-'Mass Ion Calculations'!$D$5)))</f>
        <v/>
      </c>
      <c r="Y29" s="3" t="str">
        <f>IF(OR($B29="",Y$3=""),"",IF('Mass Ion Calculations'!$D$6="Yes",IF('Mass Ion Calculations'!$D$7="Yes",('Mass Ion Calculations'!$D$18+'AA Exact Masses'!$Q$3+'AA Exact Masses'!$Q$3-'Mass Ion Calculations'!$C$27-'Mass Ion Calculations'!$C30)/2-'Mass Ion Calculations'!$D$5,('Mass Ion Calculations'!$F$18+'AA Exact Masses'!$Q$3+'AA Exact Masses'!$Q$3-'Mass Ion Calculations'!$E$27-'Mass Ion Calculations'!$E30)/2-'Mass Ion Calculations'!$D$5),IF('Mass Ion Calculations'!$D$7="Yes", ('Mass Ion Calculations'!$D$15+'AA Exact Masses'!$Q$3+'AA Exact Masses'!$Q$3-'Mass Ion Calculations'!$C$27-'Mass Ion Calculations'!$C30)/2-'Mass Ion Calculations'!$D$5,('Mass Ion Calculations'!$F$15+'AA Exact Masses'!$Q$3+'AA Exact Masses'!$Q$3-'Mass Ion Calculations'!$E$27-'Mass Ion Calculations'!$E30)/2-'Mass Ion Calculations'!$D$5)))</f>
        <v/>
      </c>
      <c r="Z29" s="3" t="str">
        <f>IF(OR($B29="",Z$3=""),"",IF('Mass Ion Calculations'!$D$6="Yes",IF('Mass Ion Calculations'!$D$7="Yes",('Mass Ion Calculations'!$D$18+'AA Exact Masses'!$Q$3+'AA Exact Masses'!$Q$3-'Mass Ion Calculations'!$C$28-'Mass Ion Calculations'!$C30)/2-'Mass Ion Calculations'!$D$5,('Mass Ion Calculations'!$F$18+'AA Exact Masses'!$Q$3+'AA Exact Masses'!$Q$3-'Mass Ion Calculations'!$E$28-'Mass Ion Calculations'!$E30)/2-'Mass Ion Calculations'!$D$5),IF('Mass Ion Calculations'!$D$7="Yes", ('Mass Ion Calculations'!$D$15+'AA Exact Masses'!$Q$3+'AA Exact Masses'!$Q$3-'Mass Ion Calculations'!$C$28-'Mass Ion Calculations'!$C30)/2-'Mass Ion Calculations'!$D$5,('Mass Ion Calculations'!$F$15+'AA Exact Masses'!$Q$3+'AA Exact Masses'!$Q$3-'Mass Ion Calculations'!$E$28-'Mass Ion Calculations'!$E30)/2-'Mass Ion Calculations'!$D$5)))</f>
        <v/>
      </c>
    </row>
    <row r="30" spans="2:26" x14ac:dyDescent="0.25">
      <c r="C30" s="3" t="str">
        <f>IF(OR($B30="",C$3=""),"",IF('Mass Ion Calculations'!$D$6="Yes",IF('Mass Ion Calculations'!$D$7="Yes",('Mass Ion Calculations'!$D$18+'AA Exact Masses'!$Q$3+'AA Exact Masses'!$Q$3-'Mass Ion Calculations'!$C$5-'Mass Ion Calculations'!$C31)/2-'Mass Ion Calculations'!$D$5,('Mass Ion Calculations'!$F$18+'AA Exact Masses'!$Q$3+'AA Exact Masses'!$Q$3-'Mass Ion Calculations'!$E$5-'Mass Ion Calculations'!$E31)/2-'Mass Ion Calculations'!$D$5),IF('Mass Ion Calculations'!$D$7="Yes", ('Mass Ion Calculations'!$D$15+'AA Exact Masses'!$Q$3+'AA Exact Masses'!$Q$3-'Mass Ion Calculations'!$C$5-'Mass Ion Calculations'!$C31)/2-'Mass Ion Calculations'!$D$5,('Mass Ion Calculations'!$F$15+'AA Exact Masses'!$Q$3+'AA Exact Masses'!$Q$3-'Mass Ion Calculations'!$E$5-'Mass Ion Calculations'!$E31)/2-'Mass Ion Calculations'!$D$5)))</f>
        <v/>
      </c>
      <c r="D30" s="3" t="str">
        <f>IF(OR($B30="",D$3=""),"",IF('Mass Ion Calculations'!$D$6="Yes",IF('Mass Ion Calculations'!$D$7="Yes",('Mass Ion Calculations'!$D$18+'AA Exact Masses'!$Q$3+'AA Exact Masses'!$Q$3-'Mass Ion Calculations'!$C$6-'Mass Ion Calculations'!$C31)/2-'Mass Ion Calculations'!$D$5,('Mass Ion Calculations'!$F$18+'AA Exact Masses'!$Q$3+'AA Exact Masses'!$Q$3-'Mass Ion Calculations'!$E$6-'Mass Ion Calculations'!$E31)/2-'Mass Ion Calculations'!$D$5),IF('Mass Ion Calculations'!$D$7="Yes", ('Mass Ion Calculations'!$D$15+'AA Exact Masses'!$Q$3+'AA Exact Masses'!$Q$3-'Mass Ion Calculations'!$C$6-'Mass Ion Calculations'!$C31)/2-'Mass Ion Calculations'!$D$5,('Mass Ion Calculations'!$F$15+'AA Exact Masses'!$Q$3+'AA Exact Masses'!$Q$3-'Mass Ion Calculations'!$E$6-'Mass Ion Calculations'!$E31)/2-'Mass Ion Calculations'!$D$5)))</f>
        <v/>
      </c>
      <c r="E30" s="3" t="str">
        <f>IF(OR($B30="",E$3=""),"",IF('Mass Ion Calculations'!$D$6="Yes",IF('Mass Ion Calculations'!$D$7="Yes",('Mass Ion Calculations'!$D$18+'AA Exact Masses'!$Q$3+'AA Exact Masses'!$Q$3-'Mass Ion Calculations'!$C$7-'Mass Ion Calculations'!$C31)/2-'Mass Ion Calculations'!$D$5,('Mass Ion Calculations'!$F$18+'AA Exact Masses'!$Q$3+'AA Exact Masses'!$Q$3-'Mass Ion Calculations'!$E$7-'Mass Ion Calculations'!$E31)/2-'Mass Ion Calculations'!$D$5),IF('Mass Ion Calculations'!$D$7="Yes", ('Mass Ion Calculations'!$D$15+'AA Exact Masses'!$Q$3+'AA Exact Masses'!$Q$3-'Mass Ion Calculations'!$C$7-'Mass Ion Calculations'!$C31)/2-'Mass Ion Calculations'!$D$5,('Mass Ion Calculations'!$F$15+'AA Exact Masses'!$Q$3+'AA Exact Masses'!$Q$3-'Mass Ion Calculations'!$E$7-'Mass Ion Calculations'!$E31)/2-'Mass Ion Calculations'!$D$5)))</f>
        <v/>
      </c>
      <c r="F30" s="3" t="str">
        <f>IF(OR($B30="",F$3=""),"",IF('Mass Ion Calculations'!$D$6="Yes",IF('Mass Ion Calculations'!$D$7="Yes",('Mass Ion Calculations'!$D$18+'AA Exact Masses'!$Q$3+'AA Exact Masses'!$Q$3-'Mass Ion Calculations'!$C$8-'Mass Ion Calculations'!$C31)/2-'Mass Ion Calculations'!$D$5,('Mass Ion Calculations'!$F$18+'AA Exact Masses'!$Q$3+'AA Exact Masses'!$Q$3-'Mass Ion Calculations'!$E$8-'Mass Ion Calculations'!$E31)/2-'Mass Ion Calculations'!$D$5),IF('Mass Ion Calculations'!$D$7="Yes", ('Mass Ion Calculations'!$D$15+'AA Exact Masses'!$Q$3+'AA Exact Masses'!$Q$3-'Mass Ion Calculations'!$C$8-'Mass Ion Calculations'!$C31)/2-'Mass Ion Calculations'!$D$5,('Mass Ion Calculations'!$F$15+'AA Exact Masses'!$Q$3+'AA Exact Masses'!$Q$3-'Mass Ion Calculations'!$E$8-'Mass Ion Calculations'!$E31)/2-'Mass Ion Calculations'!$D$5)))</f>
        <v/>
      </c>
      <c r="G30" s="3" t="str">
        <f>IF(OR($B30="",G$3=""),"",IF('Mass Ion Calculations'!$D$6="Yes",IF('Mass Ion Calculations'!$D$7="Yes",('Mass Ion Calculations'!$D$18+'AA Exact Masses'!$Q$3+'AA Exact Masses'!$Q$3-'Mass Ion Calculations'!$C$9-'Mass Ion Calculations'!$C31)/2-'Mass Ion Calculations'!$D$5,('Mass Ion Calculations'!$F$18+'AA Exact Masses'!$Q$3+'AA Exact Masses'!$Q$3-'Mass Ion Calculations'!$E$9-'Mass Ion Calculations'!$E31)/2-'Mass Ion Calculations'!$D$5),IF('Mass Ion Calculations'!$D$7="Yes", ('Mass Ion Calculations'!$D$15+'AA Exact Masses'!$Q$3+'AA Exact Masses'!$Q$3-'Mass Ion Calculations'!$C$9-'Mass Ion Calculations'!$C31)/2-'Mass Ion Calculations'!$D$5,('Mass Ion Calculations'!$F$15+'AA Exact Masses'!$Q$3+'AA Exact Masses'!$Q$3-'Mass Ion Calculations'!$E$9-'Mass Ion Calculations'!$E31)/2-'Mass Ion Calculations'!$D$5)))</f>
        <v/>
      </c>
      <c r="H30" s="3" t="str">
        <f>IF(OR($B30="",H$3=""),"",IF('Mass Ion Calculations'!$D$6="Yes",IF('Mass Ion Calculations'!$D$7="Yes",('Mass Ion Calculations'!$D$18+'AA Exact Masses'!$Q$3+'AA Exact Masses'!$Q$3-'Mass Ion Calculations'!$C$10-'Mass Ion Calculations'!$C31)/2-'Mass Ion Calculations'!$D$5,('Mass Ion Calculations'!$F$18+'AA Exact Masses'!$Q$3+'AA Exact Masses'!$Q$3-'Mass Ion Calculations'!$E$10-'Mass Ion Calculations'!$E31)/2-'Mass Ion Calculations'!$D$5),IF('Mass Ion Calculations'!$D$7="Yes", ('Mass Ion Calculations'!$D$15+'AA Exact Masses'!$Q$3+'AA Exact Masses'!$Q$3-'Mass Ion Calculations'!$C$10-'Mass Ion Calculations'!$C31)/2-'Mass Ion Calculations'!$D$5,('Mass Ion Calculations'!$F$15+'AA Exact Masses'!$Q$3+'AA Exact Masses'!$Q$3-'Mass Ion Calculations'!$E$10-'Mass Ion Calculations'!$E31)/2-'Mass Ion Calculations'!$D$5)))</f>
        <v/>
      </c>
      <c r="I30" s="3" t="str">
        <f>IF(OR($B30="",I$3=""),"",IF('Mass Ion Calculations'!$D$6="Yes",IF('Mass Ion Calculations'!$D$7="Yes",('Mass Ion Calculations'!$D$18+'AA Exact Masses'!$Q$3+'AA Exact Masses'!$Q$3-'Mass Ion Calculations'!$C$11-'Mass Ion Calculations'!$C31)/2-'Mass Ion Calculations'!$D$5,('Mass Ion Calculations'!$F$18+'AA Exact Masses'!$Q$3+'AA Exact Masses'!$Q$3-'Mass Ion Calculations'!$E$11-'Mass Ion Calculations'!$E31)/2-'Mass Ion Calculations'!$D$5),IF('Mass Ion Calculations'!$D$7="Yes", ('Mass Ion Calculations'!$D$15+'AA Exact Masses'!$Q$3+'AA Exact Masses'!$Q$3-'Mass Ion Calculations'!$C$11-'Mass Ion Calculations'!$C31)/2-'Mass Ion Calculations'!$D$5,('Mass Ion Calculations'!$F$15+'AA Exact Masses'!$Q$3+'AA Exact Masses'!$Q$3-'Mass Ion Calculations'!$E$11-'Mass Ion Calculations'!$E31)/2-'Mass Ion Calculations'!$D$5)))</f>
        <v/>
      </c>
      <c r="J30" s="3" t="str">
        <f>IF(OR($B30="",J$3=""),"",IF('Mass Ion Calculations'!$D$6="Yes",IF('Mass Ion Calculations'!$D$7="Yes",('Mass Ion Calculations'!$D$18+'AA Exact Masses'!$Q$3+'AA Exact Masses'!$Q$3-'Mass Ion Calculations'!$C$12-'Mass Ion Calculations'!$C31)/2-'Mass Ion Calculations'!$D$5,('Mass Ion Calculations'!$F$18+'AA Exact Masses'!$Q$3+'AA Exact Masses'!$Q$3-'Mass Ion Calculations'!$E$12-'Mass Ion Calculations'!$E31)/2-'Mass Ion Calculations'!$D$5),IF('Mass Ion Calculations'!$D$7="Yes", ('Mass Ion Calculations'!$D$15+'AA Exact Masses'!$Q$3+'AA Exact Masses'!$Q$3-'Mass Ion Calculations'!$C$12-'Mass Ion Calculations'!$C31)/2-'Mass Ion Calculations'!$D$5,('Mass Ion Calculations'!$F$15+'AA Exact Masses'!$Q$3+'AA Exact Masses'!$Q$3-'Mass Ion Calculations'!$E$12-'Mass Ion Calculations'!$E31)/2-'Mass Ion Calculations'!$D$5)))</f>
        <v/>
      </c>
      <c r="K30" s="3" t="str">
        <f>IF(OR($B30="",K$3=""),"",IF('Mass Ion Calculations'!$D$6="Yes",IF('Mass Ion Calculations'!$D$7="Yes",('Mass Ion Calculations'!$D$18+'AA Exact Masses'!$Q$3+'AA Exact Masses'!$Q$3-'Mass Ion Calculations'!$C$13-'Mass Ion Calculations'!$C31)/2-'Mass Ion Calculations'!$D$5,('Mass Ion Calculations'!$F$18+'AA Exact Masses'!$Q$3+'AA Exact Masses'!$Q$3-'Mass Ion Calculations'!$E$13-'Mass Ion Calculations'!$E31)/2-'Mass Ion Calculations'!$D$5),IF('Mass Ion Calculations'!$D$7="Yes", ('Mass Ion Calculations'!$D$15+'AA Exact Masses'!$Q$3+'AA Exact Masses'!$Q$3-'Mass Ion Calculations'!$C$13-'Mass Ion Calculations'!$C31)/2-'Mass Ion Calculations'!$D$5,('Mass Ion Calculations'!$F$15+'AA Exact Masses'!$Q$3+'AA Exact Masses'!$Q$3-'Mass Ion Calculations'!$E$13-'Mass Ion Calculations'!$E31)/2-'Mass Ion Calculations'!$D$5)))</f>
        <v/>
      </c>
      <c r="L30" s="3" t="str">
        <f>IF(OR($B30="",L$3=""),"",IF('Mass Ion Calculations'!$D$6="Yes",IF('Mass Ion Calculations'!$D$7="Yes",('Mass Ion Calculations'!$D$18+'AA Exact Masses'!$Q$3+'AA Exact Masses'!$Q$3-'Mass Ion Calculations'!$C$14-'Mass Ion Calculations'!$C31)/2-'Mass Ion Calculations'!$D$5,('Mass Ion Calculations'!$F$18+'AA Exact Masses'!$Q$3+'AA Exact Masses'!$Q$3-'Mass Ion Calculations'!$E$14-'Mass Ion Calculations'!$E31)/2-'Mass Ion Calculations'!$D$5),IF('Mass Ion Calculations'!$D$7="Yes", ('Mass Ion Calculations'!$D$15+'AA Exact Masses'!$Q$3+'AA Exact Masses'!$Q$3-'Mass Ion Calculations'!$C$14-'Mass Ion Calculations'!$C31)/2-'Mass Ion Calculations'!$D$5,('Mass Ion Calculations'!$F$15+'AA Exact Masses'!$Q$3+'AA Exact Masses'!$Q$3-'Mass Ion Calculations'!$E$14-'Mass Ion Calculations'!$E31)/2-'Mass Ion Calculations'!$D$5)))</f>
        <v/>
      </c>
      <c r="M30" s="3" t="str">
        <f>IF(OR($B30="",M$3=""),"",IF('Mass Ion Calculations'!$D$6="Yes",IF('Mass Ion Calculations'!$D$7="Yes",('Mass Ion Calculations'!$D$18+'AA Exact Masses'!$Q$3+'AA Exact Masses'!$Q$3-'Mass Ion Calculations'!$C$15-'Mass Ion Calculations'!$C31)/2-'Mass Ion Calculations'!$D$5,('Mass Ion Calculations'!$F$18+'AA Exact Masses'!$Q$3+'AA Exact Masses'!$Q$3-'Mass Ion Calculations'!$E$15-'Mass Ion Calculations'!$E31)/2-'Mass Ion Calculations'!$D$5),IF('Mass Ion Calculations'!$D$7="Yes", ('Mass Ion Calculations'!$D$15+'AA Exact Masses'!$Q$3+'AA Exact Masses'!$Q$3-'Mass Ion Calculations'!$C$15-'Mass Ion Calculations'!$C31)/2-'Mass Ion Calculations'!$D$5,('Mass Ion Calculations'!$F$15+'AA Exact Masses'!$Q$3+'AA Exact Masses'!$Q$3-'Mass Ion Calculations'!$E$15-'Mass Ion Calculations'!$E31)/2-'Mass Ion Calculations'!$D$5)))</f>
        <v/>
      </c>
      <c r="N30" s="3" t="str">
        <f>IF(OR($B30="",N$3=""),"",IF('Mass Ion Calculations'!$D$6="Yes",IF('Mass Ion Calculations'!$D$7="Yes",('Mass Ion Calculations'!$D$18+'AA Exact Masses'!$Q$3+'AA Exact Masses'!$Q$3-'Mass Ion Calculations'!$C$16-'Mass Ion Calculations'!$C31)/2-'Mass Ion Calculations'!$D$5,('Mass Ion Calculations'!$F$18+'AA Exact Masses'!$Q$3+'AA Exact Masses'!$Q$3-'Mass Ion Calculations'!$E$16-'Mass Ion Calculations'!$E31)/2-'Mass Ion Calculations'!$D$5),IF('Mass Ion Calculations'!$D$7="Yes", ('Mass Ion Calculations'!$D$15+'AA Exact Masses'!$Q$3+'AA Exact Masses'!$Q$3-'Mass Ion Calculations'!$C$16-'Mass Ion Calculations'!$C31)/2-'Mass Ion Calculations'!$D$5,('Mass Ion Calculations'!$F$15+'AA Exact Masses'!$Q$3+'AA Exact Masses'!$Q$3-'Mass Ion Calculations'!$E$16-'Mass Ion Calculations'!$E31)/2-'Mass Ion Calculations'!$D$5)))</f>
        <v/>
      </c>
      <c r="O30" s="3" t="str">
        <f>IF(OR($B30="",O$3=""),"",IF('Mass Ion Calculations'!$D$6="Yes",IF('Mass Ion Calculations'!$D$7="Yes",('Mass Ion Calculations'!$D$18+'AA Exact Masses'!$Q$3+'AA Exact Masses'!$Q$3-'Mass Ion Calculations'!$C$17-'Mass Ion Calculations'!$C31)/2-'Mass Ion Calculations'!$D$5,('Mass Ion Calculations'!$F$18+'AA Exact Masses'!$Q$3+'AA Exact Masses'!$Q$3-'Mass Ion Calculations'!$E$17-'Mass Ion Calculations'!$E31)/2-'Mass Ion Calculations'!$D$5),IF('Mass Ion Calculations'!$D$7="Yes", ('Mass Ion Calculations'!$D$15+'AA Exact Masses'!$Q$3+'AA Exact Masses'!$Q$3-'Mass Ion Calculations'!$C$17-'Mass Ion Calculations'!$C31)/2-'Mass Ion Calculations'!$D$5,('Mass Ion Calculations'!$F$15+'AA Exact Masses'!$Q$3+'AA Exact Masses'!$Q$3-'Mass Ion Calculations'!$E$17-'Mass Ion Calculations'!$E31)/2-'Mass Ion Calculations'!$D$5)))</f>
        <v/>
      </c>
      <c r="P30" s="3" t="str">
        <f>IF(OR($B30="",P$3=""),"",IF('Mass Ion Calculations'!$D$6="Yes",IF('Mass Ion Calculations'!$D$7="Yes",('Mass Ion Calculations'!$D$18+'AA Exact Masses'!$Q$3+'AA Exact Masses'!$Q$3-'Mass Ion Calculations'!$C$18-'Mass Ion Calculations'!$C31)/2-'Mass Ion Calculations'!$D$5,('Mass Ion Calculations'!$F$18+'AA Exact Masses'!$Q$3+'AA Exact Masses'!$Q$3-'Mass Ion Calculations'!$E$18-'Mass Ion Calculations'!$E31)/2-'Mass Ion Calculations'!$D$5),IF('Mass Ion Calculations'!$D$7="Yes", ('Mass Ion Calculations'!$D$15+'AA Exact Masses'!$Q$3+'AA Exact Masses'!$Q$3-'Mass Ion Calculations'!$C$18-'Mass Ion Calculations'!$C31)/2-'Mass Ion Calculations'!$D$5,('Mass Ion Calculations'!$F$15+'AA Exact Masses'!$Q$3+'AA Exact Masses'!$Q$3-'Mass Ion Calculations'!$E$18-'Mass Ion Calculations'!$E31)/2-'Mass Ion Calculations'!$D$5)))</f>
        <v/>
      </c>
      <c r="Q30" s="3" t="str">
        <f>IF(OR($B30="",Q$3=""),"",IF('Mass Ion Calculations'!$D$6="Yes",IF('Mass Ion Calculations'!$D$7="Yes",('Mass Ion Calculations'!$D$18+'AA Exact Masses'!$Q$3+'AA Exact Masses'!$Q$3-'Mass Ion Calculations'!$C$19-'Mass Ion Calculations'!$C31)/2-'Mass Ion Calculations'!$D$5,('Mass Ion Calculations'!$F$18+'AA Exact Masses'!$Q$3+'AA Exact Masses'!$Q$3-'Mass Ion Calculations'!$E$19-'Mass Ion Calculations'!$E31)/2-'Mass Ion Calculations'!$D$5),IF('Mass Ion Calculations'!$D$7="Yes", ('Mass Ion Calculations'!$D$15+'AA Exact Masses'!$Q$3+'AA Exact Masses'!$Q$3-'Mass Ion Calculations'!$C$19-'Mass Ion Calculations'!$C31)/2-'Mass Ion Calculations'!$D$5,('Mass Ion Calculations'!$F$15+'AA Exact Masses'!$Q$3+'AA Exact Masses'!$Q$3-'Mass Ion Calculations'!$E$19-'Mass Ion Calculations'!$E31)/2-'Mass Ion Calculations'!$D$5)))</f>
        <v/>
      </c>
      <c r="R30" s="3" t="str">
        <f>IF(OR($B30="",R$3=""),"",IF('Mass Ion Calculations'!$D$6="Yes",IF('Mass Ion Calculations'!$D$7="Yes",('Mass Ion Calculations'!$D$18+'AA Exact Masses'!$Q$3+'AA Exact Masses'!$Q$3-'Mass Ion Calculations'!$C$20-'Mass Ion Calculations'!$C31)/2-'Mass Ion Calculations'!$D$5,('Mass Ion Calculations'!$F$18+'AA Exact Masses'!$Q$3+'AA Exact Masses'!$Q$3-'Mass Ion Calculations'!$E$20-'Mass Ion Calculations'!$E31)/2-'Mass Ion Calculations'!$D$5),IF('Mass Ion Calculations'!$D$7="Yes", ('Mass Ion Calculations'!$D$15+'AA Exact Masses'!$Q$3+'AA Exact Masses'!$Q$3-'Mass Ion Calculations'!$C$20-'Mass Ion Calculations'!$C31)/2-'Mass Ion Calculations'!$D$5,('Mass Ion Calculations'!$F$15+'AA Exact Masses'!$Q$3+'AA Exact Masses'!$Q$3-'Mass Ion Calculations'!$E$20-'Mass Ion Calculations'!$E31)/2-'Mass Ion Calculations'!$D$5)))</f>
        <v/>
      </c>
      <c r="S30" s="3" t="str">
        <f>IF(OR($B30="",S$3=""),"",IF('Mass Ion Calculations'!$D$6="Yes",IF('Mass Ion Calculations'!$D$7="Yes",('Mass Ion Calculations'!$D$18+'AA Exact Masses'!$Q$3+'AA Exact Masses'!$Q$3-'Mass Ion Calculations'!$C$21-'Mass Ion Calculations'!$C31)/2-'Mass Ion Calculations'!$D$5,('Mass Ion Calculations'!$F$18+'AA Exact Masses'!$Q$3+'AA Exact Masses'!$Q$3-'Mass Ion Calculations'!$E$21-'Mass Ion Calculations'!$E31)/2-'Mass Ion Calculations'!$D$5),IF('Mass Ion Calculations'!$D$7="Yes", ('Mass Ion Calculations'!$D$15+'AA Exact Masses'!$Q$3+'AA Exact Masses'!$Q$3-'Mass Ion Calculations'!$C$21-'Mass Ion Calculations'!$C31)/2-'Mass Ion Calculations'!$D$5,('Mass Ion Calculations'!$F$15+'AA Exact Masses'!$Q$3+'AA Exact Masses'!$Q$3-'Mass Ion Calculations'!$E$21-'Mass Ion Calculations'!$E31)/2-'Mass Ion Calculations'!$D$5)))</f>
        <v/>
      </c>
      <c r="T30" s="3" t="str">
        <f>IF(OR($B30="",T$3=""),"",IF('Mass Ion Calculations'!$D$6="Yes",IF('Mass Ion Calculations'!$D$7="Yes",('Mass Ion Calculations'!$D$18+'AA Exact Masses'!$Q$3+'AA Exact Masses'!$Q$3-'Mass Ion Calculations'!$C$22-'Mass Ion Calculations'!$C31)/2-'Mass Ion Calculations'!$D$5,('Mass Ion Calculations'!$F$18+'AA Exact Masses'!$Q$3+'AA Exact Masses'!$Q$3-'Mass Ion Calculations'!$E$22-'Mass Ion Calculations'!$E31)/2-'Mass Ion Calculations'!$D$5),IF('Mass Ion Calculations'!$D$7="Yes", ('Mass Ion Calculations'!$D$15+'AA Exact Masses'!$Q$3+'AA Exact Masses'!$Q$3-'Mass Ion Calculations'!$C$22-'Mass Ion Calculations'!$C31)/2-'Mass Ion Calculations'!$D$5,('Mass Ion Calculations'!$F$15+'AA Exact Masses'!$Q$3+'AA Exact Masses'!$Q$3-'Mass Ion Calculations'!$E$22-'Mass Ion Calculations'!$E31)/2-'Mass Ion Calculations'!$D$5)))</f>
        <v/>
      </c>
      <c r="U30" s="3" t="str">
        <f>IF(OR($B30="",U$3=""),"",IF('Mass Ion Calculations'!$D$6="Yes",IF('Mass Ion Calculations'!$D$7="Yes",('Mass Ion Calculations'!$D$18+'AA Exact Masses'!$Q$3+'AA Exact Masses'!$Q$3-'Mass Ion Calculations'!$C$23-'Mass Ion Calculations'!$C31)/2-'Mass Ion Calculations'!$D$5,('Mass Ion Calculations'!$F$18+'AA Exact Masses'!$Q$3+'AA Exact Masses'!$Q$3-'Mass Ion Calculations'!$E$23-'Mass Ion Calculations'!$E31)/2-'Mass Ion Calculations'!$D$5),IF('Mass Ion Calculations'!$D$7="Yes", ('Mass Ion Calculations'!$D$15+'AA Exact Masses'!$Q$3+'AA Exact Masses'!$Q$3-'Mass Ion Calculations'!$C$23-'Mass Ion Calculations'!$C31)/2-'Mass Ion Calculations'!$D$5,('Mass Ion Calculations'!$F$15+'AA Exact Masses'!$Q$3+'AA Exact Masses'!$Q$3-'Mass Ion Calculations'!$E$23-'Mass Ion Calculations'!$E31)/2-'Mass Ion Calculations'!$D$5)))</f>
        <v/>
      </c>
      <c r="V30" s="3" t="str">
        <f>IF(OR($B30="",V$3=""),"",IF('Mass Ion Calculations'!$D$6="Yes",IF('Mass Ion Calculations'!$D$7="Yes",('Mass Ion Calculations'!$D$18+'AA Exact Masses'!$Q$3+'AA Exact Masses'!$Q$3-'Mass Ion Calculations'!$C$24-'Mass Ion Calculations'!$C31)/2-'Mass Ion Calculations'!$D$5,('Mass Ion Calculations'!$F$18+'AA Exact Masses'!$Q$3+'AA Exact Masses'!$Q$3-'Mass Ion Calculations'!$E$24-'Mass Ion Calculations'!$E31)/2-'Mass Ion Calculations'!$D$5),IF('Mass Ion Calculations'!$D$7="Yes", ('Mass Ion Calculations'!$D$15+'AA Exact Masses'!$Q$3+'AA Exact Masses'!$Q$3-'Mass Ion Calculations'!$C$24-'Mass Ion Calculations'!$C31)/2-'Mass Ion Calculations'!$D$5,('Mass Ion Calculations'!$F$15+'AA Exact Masses'!$Q$3+'AA Exact Masses'!$Q$3-'Mass Ion Calculations'!$E$24-'Mass Ion Calculations'!$E31)/2-'Mass Ion Calculations'!$D$5)))</f>
        <v/>
      </c>
      <c r="W30" s="3" t="str">
        <f>IF(OR($B30="",W$3=""),"",IF('Mass Ion Calculations'!$D$6="Yes",IF('Mass Ion Calculations'!$D$7="Yes",('Mass Ion Calculations'!$D$18+'AA Exact Masses'!$Q$3+'AA Exact Masses'!$Q$3-'Mass Ion Calculations'!$C$25-'Mass Ion Calculations'!$C31)/2-'Mass Ion Calculations'!$D$5,('Mass Ion Calculations'!$F$18+'AA Exact Masses'!$Q$3+'AA Exact Masses'!$Q$3-'Mass Ion Calculations'!$E$25-'Mass Ion Calculations'!$E31)/2-'Mass Ion Calculations'!$D$5),IF('Mass Ion Calculations'!$D$7="Yes", ('Mass Ion Calculations'!$D$15+'AA Exact Masses'!$Q$3+'AA Exact Masses'!$Q$3-'Mass Ion Calculations'!$C$25-'Mass Ion Calculations'!$C31)/2-'Mass Ion Calculations'!$D$5,('Mass Ion Calculations'!$F$15+'AA Exact Masses'!$Q$3+'AA Exact Masses'!$Q$3-'Mass Ion Calculations'!$E$25-'Mass Ion Calculations'!$E31)/2-'Mass Ion Calculations'!$D$5)))</f>
        <v/>
      </c>
      <c r="X30" s="3" t="str">
        <f>IF(OR($B30="",X$3=""),"",IF('Mass Ion Calculations'!$D$6="Yes",IF('Mass Ion Calculations'!$D$7="Yes",('Mass Ion Calculations'!$D$18+'AA Exact Masses'!$Q$3+'AA Exact Masses'!$Q$3-'Mass Ion Calculations'!$C$26-'Mass Ion Calculations'!$C31)/2-'Mass Ion Calculations'!$D$5,('Mass Ion Calculations'!$F$18+'AA Exact Masses'!$Q$3+'AA Exact Masses'!$Q$3-'Mass Ion Calculations'!$E$26-'Mass Ion Calculations'!$E31)/2-'Mass Ion Calculations'!$D$5),IF('Mass Ion Calculations'!$D$7="Yes", ('Mass Ion Calculations'!$D$15+'AA Exact Masses'!$Q$3+'AA Exact Masses'!$Q$3-'Mass Ion Calculations'!$C$26-'Mass Ion Calculations'!$C31)/2-'Mass Ion Calculations'!$D$5,('Mass Ion Calculations'!$F$15+'AA Exact Masses'!$Q$3+'AA Exact Masses'!$Q$3-'Mass Ion Calculations'!$E$26-'Mass Ion Calculations'!$E31)/2-'Mass Ion Calculations'!$D$5)))</f>
        <v/>
      </c>
      <c r="Y30" s="3" t="str">
        <f>IF(OR($B30="",Y$3=""),"",IF('Mass Ion Calculations'!$D$6="Yes",IF('Mass Ion Calculations'!$D$7="Yes",('Mass Ion Calculations'!$D$18+'AA Exact Masses'!$Q$3+'AA Exact Masses'!$Q$3-'Mass Ion Calculations'!$C$27-'Mass Ion Calculations'!$C31)/2-'Mass Ion Calculations'!$D$5,('Mass Ion Calculations'!$F$18+'AA Exact Masses'!$Q$3+'AA Exact Masses'!$Q$3-'Mass Ion Calculations'!$E$27-'Mass Ion Calculations'!$E31)/2-'Mass Ion Calculations'!$D$5),IF('Mass Ion Calculations'!$D$7="Yes", ('Mass Ion Calculations'!$D$15+'AA Exact Masses'!$Q$3+'AA Exact Masses'!$Q$3-'Mass Ion Calculations'!$C$27-'Mass Ion Calculations'!$C31)/2-'Mass Ion Calculations'!$D$5,('Mass Ion Calculations'!$F$15+'AA Exact Masses'!$Q$3+'AA Exact Masses'!$Q$3-'Mass Ion Calculations'!$E$27-'Mass Ion Calculations'!$E31)/2-'Mass Ion Calculations'!$D$5)))</f>
        <v/>
      </c>
      <c r="Z30" s="3" t="str">
        <f>IF(OR($B30="",Z$3=""),"",IF('Mass Ion Calculations'!$D$6="Yes",IF('Mass Ion Calculations'!$D$7="Yes",('Mass Ion Calculations'!$D$18+'AA Exact Masses'!$Q$3+'AA Exact Masses'!$Q$3-'Mass Ion Calculations'!$C$28-'Mass Ion Calculations'!$C31)/2-'Mass Ion Calculations'!$D$5,('Mass Ion Calculations'!$F$18+'AA Exact Masses'!$Q$3+'AA Exact Masses'!$Q$3-'Mass Ion Calculations'!$E$28-'Mass Ion Calculations'!$E31)/2-'Mass Ion Calculations'!$D$5),IF('Mass Ion Calculations'!$D$7="Yes", ('Mass Ion Calculations'!$D$15+'AA Exact Masses'!$Q$3+'AA Exact Masses'!$Q$3-'Mass Ion Calculations'!$C$28-'Mass Ion Calculations'!$C31)/2-'Mass Ion Calculations'!$D$5,('Mass Ion Calculations'!$F$15+'AA Exact Masses'!$Q$3+'AA Exact Masses'!$Q$3-'Mass Ion Calculations'!$E$28-'Mass Ion Calculations'!$E31)/2-'Mass Ion Calculations'!$D$5)))</f>
        <v/>
      </c>
    </row>
  </sheetData>
  <conditionalFormatting sqref="C4:Z30">
    <cfRule type="cellIs" dxfId="3" priority="1" operator="between">
      <formula>2</formula>
      <formula>-2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Z30"/>
  <sheetViews>
    <sheetView workbookViewId="0">
      <selection activeCell="H5" sqref="H5"/>
    </sheetView>
  </sheetViews>
  <sheetFormatPr defaultRowHeight="15" x14ac:dyDescent="0.25"/>
  <sheetData>
    <row r="1" spans="2:26" x14ac:dyDescent="0.25">
      <c r="E1" t="s">
        <v>77</v>
      </c>
      <c r="G1" s="24" t="str">
        <f>IF('Mass Ion Calculations'!$D$6="Yes","Cyclic","Linear")</f>
        <v>Cyclic</v>
      </c>
      <c r="H1" s="24" t="str">
        <f>IF('Mass Ion Calculations'!$D$7="Yes","Protected","Deprotected")</f>
        <v>Deprotected</v>
      </c>
    </row>
    <row r="2" spans="2:26" x14ac:dyDescent="0.25">
      <c r="D2" t="s">
        <v>49</v>
      </c>
    </row>
    <row r="3" spans="2:26" x14ac:dyDescent="0.25">
      <c r="B3" s="4" t="s">
        <v>43</v>
      </c>
      <c r="C3" s="4" t="str">
        <f>IF('Mass Ion Calculations'!$B5="","",'Mass Ion Calculations'!$B5)</f>
        <v>Orn(Boc)</v>
      </c>
      <c r="D3" s="4" t="str">
        <f>IF('Mass Ion Calculations'!$B6="","",'Mass Ion Calculations'!$B6)</f>
        <v>Ala</v>
      </c>
      <c r="E3" s="4" t="str">
        <f>IF('Mass Ion Calculations'!$B7="","",'Mass Ion Calculations'!$B7)</f>
        <v>Ile</v>
      </c>
      <c r="F3" s="4" t="str">
        <f>IF('Mass Ion Calculations'!$B8="","",'Mass Ion Calculations'!$B8)</f>
        <v>Ile</v>
      </c>
      <c r="G3" s="4" t="str">
        <f>IF('Mass Ion Calculations'!$B9="","",'Mass Ion Calculations'!$B9)</f>
        <v>N-Meth-Gly</v>
      </c>
      <c r="H3" s="4" t="str">
        <f>IF('Mass Ion Calculations'!$B10="","",'Mass Ion Calculations'!$B10)</f>
        <v>Leu</v>
      </c>
      <c r="I3" s="4" t="str">
        <f>IF('Mass Ion Calculations'!$B11="","",'Mass Ion Calculations'!$B11)</f>
        <v>Orn(Boc)</v>
      </c>
      <c r="J3" s="4" t="str">
        <f>IF('Mass Ion Calculations'!$B12="","",'Mass Ion Calculations'!$B12)</f>
        <v>Val</v>
      </c>
      <c r="K3" s="4" t="str">
        <f>IF('Mass Ion Calculations'!$B13="","",'Mass Ion Calculations'!$B13)</f>
        <v>Orn(Boc)</v>
      </c>
      <c r="L3" s="4" t="str">
        <f>IF('Mass Ion Calculations'!$B14="","",'Mass Ion Calculations'!$B14)</f>
        <v>Glu(OtBu)</v>
      </c>
      <c r="M3" s="4" t="str">
        <f>IF('Mass Ion Calculations'!$B15="","",'Mass Ion Calculations'!$B15)</f>
        <v>Asp(tBu)</v>
      </c>
      <c r="N3" s="4" t="str">
        <f>IF('Mass Ion Calculations'!$B16="","",'Mass Ion Calculations'!$B16)</f>
        <v>Ala</v>
      </c>
      <c r="O3" s="4" t="str">
        <f>IF('Mass Ion Calculations'!$B17="","",'Mass Ion Calculations'!$B17)</f>
        <v>Phe</v>
      </c>
      <c r="P3" s="4" t="str">
        <f>IF('Mass Ion Calculations'!$B18="","",'Mass Ion Calculations'!$B18)</f>
        <v>Phe-I</v>
      </c>
      <c r="Q3" s="4" t="str">
        <f>IF('Mass Ion Calculations'!$B19="","",'Mass Ion Calculations'!$B19)</f>
        <v>Val</v>
      </c>
      <c r="R3" s="4" t="str">
        <f>IF('Mass Ion Calculations'!$B20="","",'Mass Ion Calculations'!$B20)</f>
        <v>Leu</v>
      </c>
      <c r="S3" s="4" t="str">
        <f>IF('Mass Ion Calculations'!$B21="","",'Mass Ion Calculations'!$B21)</f>
        <v/>
      </c>
      <c r="T3" s="4" t="str">
        <f>IF('Mass Ion Calculations'!$B22="","",'Mass Ion Calculations'!$B22)</f>
        <v>HOAt</v>
      </c>
      <c r="U3" s="4" t="str">
        <f>IF('Mass Ion Calculations'!$B23="","",'Mass Ion Calculations'!$B5)</f>
        <v>Orn(Boc)</v>
      </c>
      <c r="V3" s="4" t="str">
        <f>IF('Mass Ion Calculations'!$B24="","",'Mass Ion Calculations'!$B24)</f>
        <v/>
      </c>
      <c r="W3" s="4" t="str">
        <f>IF('Mass Ion Calculations'!$B25="","",'Mass Ion Calculations'!$B25)</f>
        <v/>
      </c>
      <c r="X3" s="4" t="str">
        <f>IF('Mass Ion Calculations'!$B26="","",'Mass Ion Calculations'!$B26)</f>
        <v/>
      </c>
      <c r="Y3" s="4" t="str">
        <f>IF('Mass Ion Calculations'!$B27="","",'Mass Ion Calculations'!$B27)</f>
        <v/>
      </c>
    </row>
    <row r="4" spans="2:26" x14ac:dyDescent="0.25">
      <c r="B4" s="4" t="str">
        <f>IF('Mass Ion Calculations'!B5="","", 'Mass Ion Calculations'!B5)</f>
        <v>Orn(Boc)</v>
      </c>
      <c r="C4" s="3">
        <f>IF(OR($B4="",C$3=""),"",IF('Mass Ion Calculations'!$D$6="Yes",IF('Mass Ion Calculations'!$D$7="Yes",('Mass Ion Calculations'!$D$18+'AA Exact Masses'!$Q$2+'AA Exact Masses'!$Q$2-'Mass Ion Calculations'!$C$5-'Mass Ion Calculations'!$C5)/2-'Mass Ion Calculations'!$D$5,('Mass Ion Calculations'!$F$18+'AA Exact Masses'!$Q$2+'AA Exact Masses'!$Q$2-'Mass Ion Calculations'!$E$5-'Mass Ion Calculations'!$E5)/2-'Mass Ion Calculations'!$D$5),IF('Mass Ion Calculations'!$D$7="Yes", ('Mass Ion Calculations'!$D$15+'AA Exact Masses'!$Q$2+'AA Exact Masses'!$Q$2-'Mass Ion Calculations'!$C$5-'Mass Ion Calculations'!$C5)/2-'Mass Ion Calculations'!$D$5,('Mass Ion Calculations'!$F$15+'AA Exact Masses'!$Q$2+'AA Exact Masses'!$Q$2-'Mass Ion Calculations'!$E$5-'Mass Ion Calculations'!$E5)/2-'Mass Ion Calculations'!$D$5)))</f>
        <v>-425.10882500000002</v>
      </c>
      <c r="D4" s="3">
        <f>IF(OR($B4="",D$3=""),"",IF('Mass Ion Calculations'!$D$6="Yes",IF('Mass Ion Calculations'!$D$7="Yes",('Mass Ion Calculations'!$D$18+'AA Exact Masses'!$Q$2+'AA Exact Masses'!$Q$2-'Mass Ion Calculations'!$C$6-'Mass Ion Calculations'!$C5)/2-'Mass Ion Calculations'!$D$5,('Mass Ion Calculations'!$F$18+'AA Exact Masses'!$Q$2+'AA Exact Masses'!$Q$2-'Mass Ion Calculations'!$E$6-'Mass Ion Calculations'!$E5)/2-'Mass Ion Calculations'!$D$5),IF('Mass Ion Calculations'!$D$7="Yes", ('Mass Ion Calculations'!$D$15+'AA Exact Masses'!$Q$2+'AA Exact Masses'!$Q$2-'Mass Ion Calculations'!$C$6-'Mass Ion Calculations'!$C5)/2-'Mass Ion Calculations'!$D$5,('Mass Ion Calculations'!$F$15+'AA Exact Masses'!$Q$2+'AA Exact Masses'!$Q$2-'Mass Ion Calculations'!$E$6-'Mass Ion Calculations'!$E5)/2-'Mass Ion Calculations'!$D$5)))</f>
        <v>-403.58771999999999</v>
      </c>
      <c r="E4" s="3">
        <f>IF(OR($B4="",E$3=""),"",IF('Mass Ion Calculations'!$D$6="Yes",IF('Mass Ion Calculations'!$D$7="Yes",('Mass Ion Calculations'!$D$18+'AA Exact Masses'!$Q$2+'AA Exact Masses'!$Q$2-'Mass Ion Calculations'!$C$7-'Mass Ion Calculations'!$C5)/2-'Mass Ion Calculations'!$D$5,('Mass Ion Calculations'!$F$18+'AA Exact Masses'!$Q$2+'AA Exact Masses'!$Q$2-'Mass Ion Calculations'!$E$7-'Mass Ion Calculations'!$E5)/2-'Mass Ion Calculations'!$D$5),IF('Mass Ion Calculations'!$D$7="Yes", ('Mass Ion Calculations'!$D$15+'AA Exact Masses'!$Q$2+'AA Exact Masses'!$Q$2-'Mass Ion Calculations'!$C$7-'Mass Ion Calculations'!$C5)/2-'Mass Ion Calculations'!$D$5,('Mass Ion Calculations'!$F$15+'AA Exact Masses'!$Q$2+'AA Exact Masses'!$Q$2-'Mass Ion Calculations'!$E$7-'Mass Ion Calculations'!$E5)/2-'Mass Ion Calculations'!$D$5)))</f>
        <v>-424.61119499999995</v>
      </c>
      <c r="F4" s="3">
        <f>IF(OR($B4="",F$3=""),"",IF('Mass Ion Calculations'!$D$6="Yes",IF('Mass Ion Calculations'!$D$7="Yes",('Mass Ion Calculations'!$D$18+'AA Exact Masses'!$Q$2+'AA Exact Masses'!$Q$2-'Mass Ion Calculations'!$C$8-'Mass Ion Calculations'!$C5)/2-'Mass Ion Calculations'!$D$5,('Mass Ion Calculations'!$F$18+'AA Exact Masses'!$Q$2+'AA Exact Masses'!$Q$2-'Mass Ion Calculations'!$E$8-'Mass Ion Calculations'!$E5)/2-'Mass Ion Calculations'!$D$5),IF('Mass Ion Calculations'!$D$7="Yes", ('Mass Ion Calculations'!$D$15+'AA Exact Masses'!$Q$2+'AA Exact Masses'!$Q$2-'Mass Ion Calculations'!$C$8-'Mass Ion Calculations'!$C5)/2-'Mass Ion Calculations'!$D$5,('Mass Ion Calculations'!$F$15+'AA Exact Masses'!$Q$2+'AA Exact Masses'!$Q$2-'Mass Ion Calculations'!$E$8-'Mass Ion Calculations'!$E5)/2-'Mass Ion Calculations'!$D$5)))</f>
        <v>-424.61119499999995</v>
      </c>
      <c r="G4" s="3">
        <f>IF(OR($B4="",G$3=""),"",IF('Mass Ion Calculations'!$D$6="Yes",IF('Mass Ion Calculations'!$D$7="Yes",('Mass Ion Calculations'!$D$18+'AA Exact Masses'!$Q$2+'AA Exact Masses'!$Q$2-'Mass Ion Calculations'!$C$9-'Mass Ion Calculations'!$C5)/2-'Mass Ion Calculations'!$D$5,('Mass Ion Calculations'!$F$18+'AA Exact Masses'!$Q$2+'AA Exact Masses'!$Q$2-'Mass Ion Calculations'!$E$9-'Mass Ion Calculations'!$E5)/2-'Mass Ion Calculations'!$D$5),IF('Mass Ion Calculations'!$D$7="Yes", ('Mass Ion Calculations'!$D$15+'AA Exact Masses'!$Q$2+'AA Exact Masses'!$Q$2-'Mass Ion Calculations'!$C$9-'Mass Ion Calculations'!$C5)/2-'Mass Ion Calculations'!$D$5,('Mass Ion Calculations'!$F$15+'AA Exact Masses'!$Q$2+'AA Exact Masses'!$Q$2-'Mass Ion Calculations'!$E$9-'Mass Ion Calculations'!$E5)/2-'Mass Ion Calculations'!$D$5)))</f>
        <v>-403.58771999999999</v>
      </c>
      <c r="H4" s="3">
        <f>IF(OR($B4="",H$3=""),"",IF('Mass Ion Calculations'!$D$6="Yes",IF('Mass Ion Calculations'!$D$7="Yes",('Mass Ion Calculations'!$D$18+'AA Exact Masses'!$Q$2+'AA Exact Masses'!$Q$2-'Mass Ion Calculations'!$C$10-'Mass Ion Calculations'!$C5)/2-'Mass Ion Calculations'!$D$5,('Mass Ion Calculations'!$F$18+'AA Exact Masses'!$Q$2+'AA Exact Masses'!$Q$2-'Mass Ion Calculations'!$E$10-'Mass Ion Calculations'!$E5)/2-'Mass Ion Calculations'!$D$5),IF('Mass Ion Calculations'!$D$7="Yes", ('Mass Ion Calculations'!$D$15+'AA Exact Masses'!$Q$2+'AA Exact Masses'!$Q$2-'Mass Ion Calculations'!$C$10-'Mass Ion Calculations'!$C5)/2-'Mass Ion Calculations'!$D$5,('Mass Ion Calculations'!$F$15+'AA Exact Masses'!$Q$2+'AA Exact Masses'!$Q$2-'Mass Ion Calculations'!$E$10-'Mass Ion Calculations'!$E5)/2-'Mass Ion Calculations'!$D$5)))</f>
        <v>-424.61119499999995</v>
      </c>
      <c r="I4" s="3">
        <f>IF(OR($B4="",I$3=""),"",IF('Mass Ion Calculations'!$D$6="Yes",IF('Mass Ion Calculations'!$D$7="Yes",('Mass Ion Calculations'!$D$18+'AA Exact Masses'!$Q$2+'AA Exact Masses'!$Q$2-'Mass Ion Calculations'!$C$11-'Mass Ion Calculations'!$C5)/2-'Mass Ion Calculations'!$D$5,('Mass Ion Calculations'!$F$18+'AA Exact Masses'!$Q$2+'AA Exact Masses'!$Q$2-'Mass Ion Calculations'!$E$11-'Mass Ion Calculations'!$E5)/2-'Mass Ion Calculations'!$D$5),IF('Mass Ion Calculations'!$D$7="Yes", ('Mass Ion Calculations'!$D$15+'AA Exact Masses'!$Q$2+'AA Exact Masses'!$Q$2-'Mass Ion Calculations'!$C$11-'Mass Ion Calculations'!$C5)/2-'Mass Ion Calculations'!$D$5,('Mass Ion Calculations'!$F$15+'AA Exact Masses'!$Q$2+'AA Exact Masses'!$Q$2-'Mass Ion Calculations'!$E$11-'Mass Ion Calculations'!$E5)/2-'Mass Ion Calculations'!$D$5)))</f>
        <v>-425.10882500000002</v>
      </c>
      <c r="J4" s="3">
        <f>IF(OR($B4="",J$3=""),"",IF('Mass Ion Calculations'!$D$6="Yes",IF('Mass Ion Calculations'!$D$7="Yes",('Mass Ion Calculations'!$D$18+'AA Exact Masses'!$Q$2+'AA Exact Masses'!$Q$2-'Mass Ion Calculations'!$C$12-'Mass Ion Calculations'!$C5)/2-'Mass Ion Calculations'!$D$5,('Mass Ion Calculations'!$F$18+'AA Exact Masses'!$Q$2+'AA Exact Masses'!$Q$2-'Mass Ion Calculations'!$E$12-'Mass Ion Calculations'!$E5)/2-'Mass Ion Calculations'!$D$5),IF('Mass Ion Calculations'!$D$7="Yes", ('Mass Ion Calculations'!$D$15+'AA Exact Masses'!$Q$2+'AA Exact Masses'!$Q$2-'Mass Ion Calculations'!$C$12-'Mass Ion Calculations'!$C5)/2-'Mass Ion Calculations'!$D$5,('Mass Ion Calculations'!$F$15+'AA Exact Masses'!$Q$2+'AA Exact Masses'!$Q$2-'Mass Ion Calculations'!$E$12-'Mass Ion Calculations'!$E5)/2-'Mass Ion Calculations'!$D$5)))</f>
        <v>-417.60337000000004</v>
      </c>
      <c r="K4" s="3">
        <f>IF(OR($B4="",K$3=""),"",IF('Mass Ion Calculations'!$D$6="Yes",IF('Mass Ion Calculations'!$D$7="Yes",('Mass Ion Calculations'!$D$18+'AA Exact Masses'!$Q$2+'AA Exact Masses'!$Q$2-'Mass Ion Calculations'!$C$13-'Mass Ion Calculations'!$C5)/2-'Mass Ion Calculations'!$D$5,('Mass Ion Calculations'!$F$18+'AA Exact Masses'!$Q$2+'AA Exact Masses'!$Q$2-'Mass Ion Calculations'!$E$13-'Mass Ion Calculations'!$E5)/2-'Mass Ion Calculations'!$D$5),IF('Mass Ion Calculations'!$D$7="Yes", ('Mass Ion Calculations'!$D$15+'AA Exact Masses'!$Q$2+'AA Exact Masses'!$Q$2-'Mass Ion Calculations'!$C$13-'Mass Ion Calculations'!$C5)/2-'Mass Ion Calculations'!$D$5,('Mass Ion Calculations'!$F$15+'AA Exact Masses'!$Q$2+'AA Exact Masses'!$Q$2-'Mass Ion Calculations'!$E$13-'Mass Ion Calculations'!$E5)/2-'Mass Ion Calculations'!$D$5)))</f>
        <v>-425.10882500000002</v>
      </c>
      <c r="L4" s="3">
        <f>IF(OR($B4="",L$3=""),"",IF('Mass Ion Calculations'!$D$6="Yes",IF('Mass Ion Calculations'!$D$7="Yes",('Mass Ion Calculations'!$D$18+'AA Exact Masses'!$Q$2+'AA Exact Masses'!$Q$2-'Mass Ion Calculations'!$C$14-'Mass Ion Calculations'!$C5)/2-'Mass Ion Calculations'!$D$5,('Mass Ion Calculations'!$F$18+'AA Exact Masses'!$Q$2+'AA Exact Masses'!$Q$2-'Mass Ion Calculations'!$E$14-'Mass Ion Calculations'!$E5)/2-'Mass Ion Calculations'!$D$5),IF('Mass Ion Calculations'!$D$7="Yes", ('Mass Ion Calculations'!$D$15+'AA Exact Masses'!$Q$2+'AA Exact Masses'!$Q$2-'Mass Ion Calculations'!$C$14-'Mass Ion Calculations'!$C5)/2-'Mass Ion Calculations'!$D$5,('Mass Ion Calculations'!$F$15+'AA Exact Masses'!$Q$2+'AA Exact Masses'!$Q$2-'Mass Ion Calculations'!$E$14-'Mass Ion Calculations'!$E5)/2-'Mass Ion Calculations'!$D$5)))</f>
        <v>-432.59046000000001</v>
      </c>
      <c r="M4" s="3">
        <f>IF(OR($B4="",M$3=""),"",IF('Mass Ion Calculations'!$D$6="Yes",IF('Mass Ion Calculations'!$D$7="Yes",('Mass Ion Calculations'!$D$18+'AA Exact Masses'!$Q$2+'AA Exact Masses'!$Q$2-'Mass Ion Calculations'!$C$15-'Mass Ion Calculations'!$C5)/2-'Mass Ion Calculations'!$D$5,('Mass Ion Calculations'!$F$18+'AA Exact Masses'!$Q$2+'AA Exact Masses'!$Q$2-'Mass Ion Calculations'!$E$15-'Mass Ion Calculations'!$E5)/2-'Mass Ion Calculations'!$D$5),IF('Mass Ion Calculations'!$D$7="Yes", ('Mass Ion Calculations'!$D$15+'AA Exact Masses'!$Q$2+'AA Exact Masses'!$Q$2-'Mass Ion Calculations'!$C$15-'Mass Ion Calculations'!$C5)/2-'Mass Ion Calculations'!$D$5,('Mass Ion Calculations'!$F$15+'AA Exact Masses'!$Q$2+'AA Exact Masses'!$Q$2-'Mass Ion Calculations'!$E$15-'Mass Ion Calculations'!$E5)/2-'Mass Ion Calculations'!$D$5)))</f>
        <v>-425.58263499999998</v>
      </c>
      <c r="N4" s="3">
        <f>IF(OR($B4="",N$3=""),"",IF('Mass Ion Calculations'!$D$6="Yes",IF('Mass Ion Calculations'!$D$7="Yes",('Mass Ion Calculations'!$D$18+'AA Exact Masses'!$Q$2+'AA Exact Masses'!$Q$2-'Mass Ion Calculations'!$C$16-'Mass Ion Calculations'!$C5)/2-'Mass Ion Calculations'!$D$5,('Mass Ion Calculations'!$F$18+'AA Exact Masses'!$Q$2+'AA Exact Masses'!$Q$2-'Mass Ion Calculations'!$E$16-'Mass Ion Calculations'!$E5)/2-'Mass Ion Calculations'!$D$5),IF('Mass Ion Calculations'!$D$7="Yes", ('Mass Ion Calculations'!$D$15+'AA Exact Masses'!$Q$2+'AA Exact Masses'!$Q$2-'Mass Ion Calculations'!$C$16-'Mass Ion Calculations'!$C5)/2-'Mass Ion Calculations'!$D$5,('Mass Ion Calculations'!$F$15+'AA Exact Masses'!$Q$2+'AA Exact Masses'!$Q$2-'Mass Ion Calculations'!$E$16-'Mass Ion Calculations'!$E5)/2-'Mass Ion Calculations'!$D$5)))</f>
        <v>-403.58771999999999</v>
      </c>
      <c r="O4" s="3">
        <f>IF(OR($B4="",O$3=""),"",IF('Mass Ion Calculations'!$D$6="Yes",IF('Mass Ion Calculations'!$D$7="Yes",('Mass Ion Calculations'!$D$18+'AA Exact Masses'!$Q$2+'AA Exact Masses'!$Q$2-'Mass Ion Calculations'!$C$17-'Mass Ion Calculations'!$C5)/2-'Mass Ion Calculations'!$D$5,('Mass Ion Calculations'!$F$18+'AA Exact Masses'!$Q$2+'AA Exact Masses'!$Q$2-'Mass Ion Calculations'!$E$17-'Mass Ion Calculations'!$E5)/2-'Mass Ion Calculations'!$D$5),IF('Mass Ion Calculations'!$D$7="Yes", ('Mass Ion Calculations'!$D$15+'AA Exact Masses'!$Q$2+'AA Exact Masses'!$Q$2-'Mass Ion Calculations'!$C$17-'Mass Ion Calculations'!$C5)/2-'Mass Ion Calculations'!$D$5,('Mass Ion Calculations'!$F$15+'AA Exact Masses'!$Q$2+'AA Exact Masses'!$Q$2-'Mass Ion Calculations'!$E$17-'Mass Ion Calculations'!$E5)/2-'Mass Ion Calculations'!$D$5)))</f>
        <v>-441.60337000000004</v>
      </c>
      <c r="P4" s="3">
        <f>IF(OR($B4="",P$3=""),"",IF('Mass Ion Calculations'!$D$6="Yes",IF('Mass Ion Calculations'!$D$7="Yes",('Mass Ion Calculations'!$D$18+'AA Exact Masses'!$Q$2+'AA Exact Masses'!$Q$2-'Mass Ion Calculations'!$C$18-'Mass Ion Calculations'!$C5)/2-'Mass Ion Calculations'!$D$5,('Mass Ion Calculations'!$F$18+'AA Exact Masses'!$Q$2+'AA Exact Masses'!$Q$2-'Mass Ion Calculations'!$E$18-'Mass Ion Calculations'!$E5)/2-'Mass Ion Calculations'!$D$5),IF('Mass Ion Calculations'!$D$7="Yes", ('Mass Ion Calculations'!$D$15+'AA Exact Masses'!$Q$2+'AA Exact Masses'!$Q$2-'Mass Ion Calculations'!$C$18-'Mass Ion Calculations'!$C5)/2-'Mass Ion Calculations'!$D$5,('Mass Ion Calculations'!$F$15+'AA Exact Masses'!$Q$2+'AA Exact Masses'!$Q$2-'Mass Ion Calculations'!$E$18-'Mass Ion Calculations'!$E5)/2-'Mass Ion Calculations'!$D$5)))</f>
        <v>-504.551695</v>
      </c>
      <c r="Q4" s="3">
        <f>IF(OR($B4="",Q$3=""),"",IF('Mass Ion Calculations'!$D$6="Yes",IF('Mass Ion Calculations'!$D$7="Yes",('Mass Ion Calculations'!$D$18+'AA Exact Masses'!$Q$2+'AA Exact Masses'!$Q$2-'Mass Ion Calculations'!$C$19-'Mass Ion Calculations'!$C5)/2-'Mass Ion Calculations'!$D$5,('Mass Ion Calculations'!$F$18+'AA Exact Masses'!$Q$2+'AA Exact Masses'!$Q$2-'Mass Ion Calculations'!$E$19-'Mass Ion Calculations'!$E5)/2-'Mass Ion Calculations'!$D$5),IF('Mass Ion Calculations'!$D$7="Yes", ('Mass Ion Calculations'!$D$15+'AA Exact Masses'!$Q$2+'AA Exact Masses'!$Q$2-'Mass Ion Calculations'!$C$19-'Mass Ion Calculations'!$C5)/2-'Mass Ion Calculations'!$D$5,('Mass Ion Calculations'!$F$15+'AA Exact Masses'!$Q$2+'AA Exact Masses'!$Q$2-'Mass Ion Calculations'!$E$19-'Mass Ion Calculations'!$E5)/2-'Mass Ion Calculations'!$D$5)))</f>
        <v>-417.60337000000004</v>
      </c>
      <c r="R4" s="3">
        <f>IF(OR($B4="",R$3=""),"",IF('Mass Ion Calculations'!$D$6="Yes",IF('Mass Ion Calculations'!$D$7="Yes",('Mass Ion Calculations'!$D$18+'AA Exact Masses'!$Q$2+'AA Exact Masses'!$Q$2-'Mass Ion Calculations'!$C$20-'Mass Ion Calculations'!$C5)/2-'Mass Ion Calculations'!$D$5,('Mass Ion Calculations'!$F$18+'AA Exact Masses'!$Q$2+'AA Exact Masses'!$Q$2-'Mass Ion Calculations'!$E$20-'Mass Ion Calculations'!$E5)/2-'Mass Ion Calculations'!$D$5),IF('Mass Ion Calculations'!$D$7="Yes", ('Mass Ion Calculations'!$D$15+'AA Exact Masses'!$Q$2+'AA Exact Masses'!$Q$2-'Mass Ion Calculations'!$C$20-'Mass Ion Calculations'!$C5)/2-'Mass Ion Calculations'!$D$5,('Mass Ion Calculations'!$F$15+'AA Exact Masses'!$Q$2+'AA Exact Masses'!$Q$2-'Mass Ion Calculations'!$E$20-'Mass Ion Calculations'!$E5)/2-'Mass Ion Calculations'!$D$5)))</f>
        <v>-424.61119499999995</v>
      </c>
      <c r="S4" s="3" t="str">
        <f>IF(OR($B4="",S$3=""),"",IF('Mass Ion Calculations'!$D$6="Yes",IF('Mass Ion Calculations'!$D$7="Yes",('Mass Ion Calculations'!$D$18+'AA Exact Masses'!$Q$2+'AA Exact Masses'!$Q$2-'Mass Ion Calculations'!$C$21-'Mass Ion Calculations'!$C5)/2-'Mass Ion Calculations'!$D$5,('Mass Ion Calculations'!$F$18+'AA Exact Masses'!$Q$2+'AA Exact Masses'!$Q$2-'Mass Ion Calculations'!$E$21-'Mass Ion Calculations'!$E5)/2-'Mass Ion Calculations'!$D$5),IF('Mass Ion Calculations'!$D$7="Yes", ('Mass Ion Calculations'!$D$15+'AA Exact Masses'!$Q$2+'AA Exact Masses'!$Q$2-'Mass Ion Calculations'!$C$21-'Mass Ion Calculations'!$C5)/2-'Mass Ion Calculations'!$D$5,('Mass Ion Calculations'!$F$15+'AA Exact Masses'!$Q$2+'AA Exact Masses'!$Q$2-'Mass Ion Calculations'!$E$21-'Mass Ion Calculations'!$E5)/2-'Mass Ion Calculations'!$D$5)))</f>
        <v/>
      </c>
      <c r="T4" s="3" t="e">
        <f>IF(OR($B4="",T$3=""),"",IF('Mass Ion Calculations'!$D$6="Yes",IF('Mass Ion Calculations'!$D$7="Yes",('Mass Ion Calculations'!$D$18+'AA Exact Masses'!$Q$2+'AA Exact Masses'!$Q$2-'Mass Ion Calculations'!$C$22-'Mass Ion Calculations'!$C5)/2-'Mass Ion Calculations'!$D$5,('Mass Ion Calculations'!$F$18+'AA Exact Masses'!$Q$2+'AA Exact Masses'!$Q$2-'Mass Ion Calculations'!$E$22-'Mass Ion Calculations'!$E5)/2-'Mass Ion Calculations'!$D$5),IF('Mass Ion Calculations'!$D$7="Yes", ('Mass Ion Calculations'!$D$15+'AA Exact Masses'!$Q$2+'AA Exact Masses'!$Q$2-'Mass Ion Calculations'!$C$22-'Mass Ion Calculations'!$C5)/2-'Mass Ion Calculations'!$D$5,('Mass Ion Calculations'!$F$15+'AA Exact Masses'!$Q$2+'AA Exact Masses'!$Q$2-'Mass Ion Calculations'!$E$22-'Mass Ion Calculations'!$E5)/2-'Mass Ion Calculations'!$D$5)))</f>
        <v>#VALUE!</v>
      </c>
      <c r="U4" s="3" t="e">
        <f>IF(OR($B4="",U$3=""),"",IF('Mass Ion Calculations'!$D$6="Yes",IF('Mass Ion Calculations'!$D$7="Yes",('Mass Ion Calculations'!$D$18+'AA Exact Masses'!$Q$2+'AA Exact Masses'!$Q$2-'Mass Ion Calculations'!$C$23-'Mass Ion Calculations'!$C5)/2-'Mass Ion Calculations'!$D$5,('Mass Ion Calculations'!$F$18+'AA Exact Masses'!$Q$2+'AA Exact Masses'!$Q$2-'Mass Ion Calculations'!$E$23-'Mass Ion Calculations'!$E5)/2-'Mass Ion Calculations'!$D$5),IF('Mass Ion Calculations'!$D$7="Yes", ('Mass Ion Calculations'!$D$15+'AA Exact Masses'!$Q$2+'AA Exact Masses'!$Q$2-'Mass Ion Calculations'!$C$23-'Mass Ion Calculations'!$C5)/2-'Mass Ion Calculations'!$D$5,('Mass Ion Calculations'!$F$15+'AA Exact Masses'!$Q$2+'AA Exact Masses'!$Q$2-'Mass Ion Calculations'!$E$23-'Mass Ion Calculations'!$E5)/2-'Mass Ion Calculations'!$D$5)))</f>
        <v>#VALUE!</v>
      </c>
      <c r="V4" s="3" t="str">
        <f>IF(OR($B4="",V$3=""),"",IF('Mass Ion Calculations'!$D$6="Yes",IF('Mass Ion Calculations'!$D$7="Yes",('Mass Ion Calculations'!$D$18+'AA Exact Masses'!$Q$2+'AA Exact Masses'!$Q$2-'Mass Ion Calculations'!$C$24-'Mass Ion Calculations'!$C5)/2-'Mass Ion Calculations'!$D$5,('Mass Ion Calculations'!$F$18+'AA Exact Masses'!$Q$2+'AA Exact Masses'!$Q$2-'Mass Ion Calculations'!$E$24-'Mass Ion Calculations'!$E5)/2-'Mass Ion Calculations'!$D$5),IF('Mass Ion Calculations'!$D$7="Yes", ('Mass Ion Calculations'!$D$15+'AA Exact Masses'!$Q$2+'AA Exact Masses'!$Q$2-'Mass Ion Calculations'!$C$24-'Mass Ion Calculations'!$C5)/2-'Mass Ion Calculations'!$D$5,('Mass Ion Calculations'!$F$15+'AA Exact Masses'!$Q$2+'AA Exact Masses'!$Q$2-'Mass Ion Calculations'!$E$24-'Mass Ion Calculations'!$E5)/2-'Mass Ion Calculations'!$D$5)))</f>
        <v/>
      </c>
      <c r="W4" s="3" t="str">
        <f>IF(OR($B4="",W$3=""),"",IF('Mass Ion Calculations'!$D$6="Yes",IF('Mass Ion Calculations'!$D$7="Yes",('Mass Ion Calculations'!$D$18+'AA Exact Masses'!$Q$2+'AA Exact Masses'!$Q$2-'Mass Ion Calculations'!$C$25-'Mass Ion Calculations'!$C5)/2-'Mass Ion Calculations'!$D$5,('Mass Ion Calculations'!$F$18+'AA Exact Masses'!$Q$2+'AA Exact Masses'!$Q$2-'Mass Ion Calculations'!$E$25-'Mass Ion Calculations'!$E5)/2-'Mass Ion Calculations'!$D$5),IF('Mass Ion Calculations'!$D$7="Yes", ('Mass Ion Calculations'!$D$15+'AA Exact Masses'!$Q$2+'AA Exact Masses'!$Q$2-'Mass Ion Calculations'!$C$25-'Mass Ion Calculations'!$C5)/2-'Mass Ion Calculations'!$D$5,('Mass Ion Calculations'!$F$15+'AA Exact Masses'!$Q$2+'AA Exact Masses'!$Q$2-'Mass Ion Calculations'!$E$25-'Mass Ion Calculations'!$E5)/2-'Mass Ion Calculations'!$D$5)))</f>
        <v/>
      </c>
      <c r="X4" s="3" t="str">
        <f>IF(OR($B4="",X$3=""),"",IF('Mass Ion Calculations'!$D$6="Yes",IF('Mass Ion Calculations'!$D$7="Yes",('Mass Ion Calculations'!$D$18+'AA Exact Masses'!$Q$2+'AA Exact Masses'!$Q$2-'Mass Ion Calculations'!$C$26-'Mass Ion Calculations'!$C5)/2-'Mass Ion Calculations'!$D$5,('Mass Ion Calculations'!$F$18+'AA Exact Masses'!$Q$2+'AA Exact Masses'!$Q$2-'Mass Ion Calculations'!$E$26-'Mass Ion Calculations'!$E5)/2-'Mass Ion Calculations'!$D$5),IF('Mass Ion Calculations'!$D$7="Yes", ('Mass Ion Calculations'!$D$15+'AA Exact Masses'!$Q$2+'AA Exact Masses'!$Q$2-'Mass Ion Calculations'!$C$26-'Mass Ion Calculations'!$C5)/2-'Mass Ion Calculations'!$D$5,('Mass Ion Calculations'!$F$15+'AA Exact Masses'!$Q$2+'AA Exact Masses'!$Q$2-'Mass Ion Calculations'!$E$26-'Mass Ion Calculations'!$E5)/2-'Mass Ion Calculations'!$D$5)))</f>
        <v/>
      </c>
      <c r="Y4" s="3" t="str">
        <f>IF(OR($B4="",Y$3=""),"",IF('Mass Ion Calculations'!$D$6="Yes",IF('Mass Ion Calculations'!$D$7="Yes",('Mass Ion Calculations'!$D$18+'AA Exact Masses'!$Q$2+'AA Exact Masses'!$Q$2-'Mass Ion Calculations'!$C$27-'Mass Ion Calculations'!$C5)/2-'Mass Ion Calculations'!$D$5,('Mass Ion Calculations'!$F$18+'AA Exact Masses'!$Q$2+'AA Exact Masses'!$Q$2-'Mass Ion Calculations'!$E$27-'Mass Ion Calculations'!$E5)/2-'Mass Ion Calculations'!$D$5),IF('Mass Ion Calculations'!$D$7="Yes", ('Mass Ion Calculations'!$D$15+'AA Exact Masses'!$Q$2+'AA Exact Masses'!$Q$2-'Mass Ion Calculations'!$C$27-'Mass Ion Calculations'!$C5)/2-'Mass Ion Calculations'!$D$5,('Mass Ion Calculations'!$F$15+'AA Exact Masses'!$Q$2+'AA Exact Masses'!$Q$2-'Mass Ion Calculations'!$E$27-'Mass Ion Calculations'!$E5)/2-'Mass Ion Calculations'!$D$5)))</f>
        <v/>
      </c>
      <c r="Z4" s="3" t="str">
        <f>IF(OR($B4="",Z$3=""),"",IF('Mass Ion Calculations'!$D$6="Yes",IF('Mass Ion Calculations'!$D$7="Yes",('Mass Ion Calculations'!$D$18+'AA Exact Masses'!$Q$2+'AA Exact Masses'!$Q$2-'Mass Ion Calculations'!$C$28-'Mass Ion Calculations'!$C5)/2-'Mass Ion Calculations'!$D$5,('Mass Ion Calculations'!$F$18+'AA Exact Masses'!$Q$2+'AA Exact Masses'!$Q$2-'Mass Ion Calculations'!$E$28-'Mass Ion Calculations'!$E5)/2-'Mass Ion Calculations'!$D$5),IF('Mass Ion Calculations'!$D$7="Yes", ('Mass Ion Calculations'!$D$15+'AA Exact Masses'!$Q$2+'AA Exact Masses'!$Q$2-'Mass Ion Calculations'!$C$28-'Mass Ion Calculations'!$C5)/2-'Mass Ion Calculations'!$D$5,('Mass Ion Calculations'!$F$15+'AA Exact Masses'!$Q$2+'AA Exact Masses'!$Q$2-'Mass Ion Calculations'!$E$28-'Mass Ion Calculations'!$E5)/2-'Mass Ion Calculations'!$D$5)))</f>
        <v/>
      </c>
    </row>
    <row r="5" spans="2:26" x14ac:dyDescent="0.25">
      <c r="B5" s="4" t="str">
        <f>IF('Mass Ion Calculations'!B6="","", 'Mass Ion Calculations'!B6)</f>
        <v>Ala</v>
      </c>
      <c r="C5" s="3">
        <f>IF(OR($B5="",C$3=""),"",IF('Mass Ion Calculations'!$D$6="Yes",IF('Mass Ion Calculations'!$D$7="Yes",('Mass Ion Calculations'!$D$18+'AA Exact Masses'!$Q$2+'AA Exact Masses'!$Q$2-'Mass Ion Calculations'!$C$5-'Mass Ion Calculations'!$C6)/2-'Mass Ion Calculations'!$D$5,('Mass Ion Calculations'!$F$18+'AA Exact Masses'!$Q$2+'AA Exact Masses'!$Q$2-'Mass Ion Calculations'!$E$5-'Mass Ion Calculations'!$E6)/2-'Mass Ion Calculations'!$D$5),IF('Mass Ion Calculations'!$D$7="Yes", ('Mass Ion Calculations'!$D$15+'AA Exact Masses'!$Q$2+'AA Exact Masses'!$Q$2-'Mass Ion Calculations'!$C$5-'Mass Ion Calculations'!$C6)/2-'Mass Ion Calculations'!$D$5,('Mass Ion Calculations'!$F$15+'AA Exact Masses'!$Q$2+'AA Exact Masses'!$Q$2-'Mass Ion Calculations'!$E$5-'Mass Ion Calculations'!$E6)/2-'Mass Ion Calculations'!$D$5)))</f>
        <v>-403.58771999999999</v>
      </c>
      <c r="D5" s="3">
        <f>IF(OR($B5="",D$3=""),"",IF('Mass Ion Calculations'!$D$6="Yes",IF('Mass Ion Calculations'!$D$7="Yes",('Mass Ion Calculations'!$D$18+'AA Exact Masses'!$Q$2+'AA Exact Masses'!$Q$2-'Mass Ion Calculations'!$C$6-'Mass Ion Calculations'!$C6)/2-'Mass Ion Calculations'!$D$5,('Mass Ion Calculations'!$F$18+'AA Exact Masses'!$Q$2+'AA Exact Masses'!$Q$2-'Mass Ion Calculations'!$E$6-'Mass Ion Calculations'!$E6)/2-'Mass Ion Calculations'!$D$5),IF('Mass Ion Calculations'!$D$7="Yes", ('Mass Ion Calculations'!$D$15+'AA Exact Masses'!$Q$2+'AA Exact Masses'!$Q$2-'Mass Ion Calculations'!$C$6-'Mass Ion Calculations'!$C6)/2-'Mass Ion Calculations'!$D$5,('Mass Ion Calculations'!$F$15+'AA Exact Masses'!$Q$2+'AA Exact Masses'!$Q$2-'Mass Ion Calculations'!$E$6-'Mass Ion Calculations'!$E6)/2-'Mass Ion Calculations'!$D$5)))</f>
        <v>-382.06661499999996</v>
      </c>
      <c r="E5" s="3">
        <f>IF(OR($B5="",E$3=""),"",IF('Mass Ion Calculations'!$D$6="Yes",IF('Mass Ion Calculations'!$D$7="Yes",('Mass Ion Calculations'!$D$18+'AA Exact Masses'!$Q$2+'AA Exact Masses'!$Q$2-'Mass Ion Calculations'!$C$7-'Mass Ion Calculations'!$C6)/2-'Mass Ion Calculations'!$D$5,('Mass Ion Calculations'!$F$18+'AA Exact Masses'!$Q$2+'AA Exact Masses'!$Q$2-'Mass Ion Calculations'!$E$7-'Mass Ion Calculations'!$E6)/2-'Mass Ion Calculations'!$D$5),IF('Mass Ion Calculations'!$D$7="Yes", ('Mass Ion Calculations'!$D$15+'AA Exact Masses'!$Q$2+'AA Exact Masses'!$Q$2-'Mass Ion Calculations'!$C$7-'Mass Ion Calculations'!$C6)/2-'Mass Ion Calculations'!$D$5,('Mass Ion Calculations'!$F$15+'AA Exact Masses'!$Q$2+'AA Exact Masses'!$Q$2-'Mass Ion Calculations'!$E$7-'Mass Ion Calculations'!$E6)/2-'Mass Ion Calculations'!$D$5)))</f>
        <v>-403.09008999999992</v>
      </c>
      <c r="F5" s="3">
        <f>IF(OR($B5="",F$3=""),"",IF('Mass Ion Calculations'!$D$6="Yes",IF('Mass Ion Calculations'!$D$7="Yes",('Mass Ion Calculations'!$D$18+'AA Exact Masses'!$Q$2+'AA Exact Masses'!$Q$2-'Mass Ion Calculations'!$C$8-'Mass Ion Calculations'!$C6)/2-'Mass Ion Calculations'!$D$5,('Mass Ion Calculations'!$F$18+'AA Exact Masses'!$Q$2+'AA Exact Masses'!$Q$2-'Mass Ion Calculations'!$E$8-'Mass Ion Calculations'!$E6)/2-'Mass Ion Calculations'!$D$5),IF('Mass Ion Calculations'!$D$7="Yes", ('Mass Ion Calculations'!$D$15+'AA Exact Masses'!$Q$2+'AA Exact Masses'!$Q$2-'Mass Ion Calculations'!$C$8-'Mass Ion Calculations'!$C6)/2-'Mass Ion Calculations'!$D$5,('Mass Ion Calculations'!$F$15+'AA Exact Masses'!$Q$2+'AA Exact Masses'!$Q$2-'Mass Ion Calculations'!$E$8-'Mass Ion Calculations'!$E6)/2-'Mass Ion Calculations'!$D$5)))</f>
        <v>-403.09008999999992</v>
      </c>
      <c r="G5" s="3">
        <f>IF(OR($B5="",G$3=""),"",IF('Mass Ion Calculations'!$D$6="Yes",IF('Mass Ion Calculations'!$D$7="Yes",('Mass Ion Calculations'!$D$18+'AA Exact Masses'!$Q$2+'AA Exact Masses'!$Q$2-'Mass Ion Calculations'!$C$9-'Mass Ion Calculations'!$C6)/2-'Mass Ion Calculations'!$D$5,('Mass Ion Calculations'!$F$18+'AA Exact Masses'!$Q$2+'AA Exact Masses'!$Q$2-'Mass Ion Calculations'!$E$9-'Mass Ion Calculations'!$E6)/2-'Mass Ion Calculations'!$D$5),IF('Mass Ion Calculations'!$D$7="Yes", ('Mass Ion Calculations'!$D$15+'AA Exact Masses'!$Q$2+'AA Exact Masses'!$Q$2-'Mass Ion Calculations'!$C$9-'Mass Ion Calculations'!$C6)/2-'Mass Ion Calculations'!$D$5,('Mass Ion Calculations'!$F$15+'AA Exact Masses'!$Q$2+'AA Exact Masses'!$Q$2-'Mass Ion Calculations'!$E$9-'Mass Ion Calculations'!$E6)/2-'Mass Ion Calculations'!$D$5)))</f>
        <v>-382.06661499999996</v>
      </c>
      <c r="H5" s="3">
        <f>IF(OR($B5="",H$3=""),"",IF('Mass Ion Calculations'!$D$6="Yes",IF('Mass Ion Calculations'!$D$7="Yes",('Mass Ion Calculations'!$D$18+'AA Exact Masses'!$Q$2+'AA Exact Masses'!$Q$2-'Mass Ion Calculations'!$C$10-'Mass Ion Calculations'!$C6)/2-'Mass Ion Calculations'!$D$5,('Mass Ion Calculations'!$F$18+'AA Exact Masses'!$Q$2+'AA Exact Masses'!$Q$2-'Mass Ion Calculations'!$E$10-'Mass Ion Calculations'!$E6)/2-'Mass Ion Calculations'!$D$5),IF('Mass Ion Calculations'!$D$7="Yes", ('Mass Ion Calculations'!$D$15+'AA Exact Masses'!$Q$2+'AA Exact Masses'!$Q$2-'Mass Ion Calculations'!$C$10-'Mass Ion Calculations'!$C6)/2-'Mass Ion Calculations'!$D$5,('Mass Ion Calculations'!$F$15+'AA Exact Masses'!$Q$2+'AA Exact Masses'!$Q$2-'Mass Ion Calculations'!$E$10-'Mass Ion Calculations'!$E6)/2-'Mass Ion Calculations'!$D$5)))</f>
        <v>-403.09008999999992</v>
      </c>
      <c r="I5" s="3">
        <f>IF(OR($B5="",I$3=""),"",IF('Mass Ion Calculations'!$D$6="Yes",IF('Mass Ion Calculations'!$D$7="Yes",('Mass Ion Calculations'!$D$18+'AA Exact Masses'!$Q$2+'AA Exact Masses'!$Q$2-'Mass Ion Calculations'!$C$11-'Mass Ion Calculations'!$C6)/2-'Mass Ion Calculations'!$D$5,('Mass Ion Calculations'!$F$18+'AA Exact Masses'!$Q$2+'AA Exact Masses'!$Q$2-'Mass Ion Calculations'!$E$11-'Mass Ion Calculations'!$E6)/2-'Mass Ion Calculations'!$D$5),IF('Mass Ion Calculations'!$D$7="Yes", ('Mass Ion Calculations'!$D$15+'AA Exact Masses'!$Q$2+'AA Exact Masses'!$Q$2-'Mass Ion Calculations'!$C$11-'Mass Ion Calculations'!$C6)/2-'Mass Ion Calculations'!$D$5,('Mass Ion Calculations'!$F$15+'AA Exact Masses'!$Q$2+'AA Exact Masses'!$Q$2-'Mass Ion Calculations'!$E$11-'Mass Ion Calculations'!$E6)/2-'Mass Ion Calculations'!$D$5)))</f>
        <v>-403.58771999999999</v>
      </c>
      <c r="J5" s="3">
        <f>IF(OR($B5="",J$3=""),"",IF('Mass Ion Calculations'!$D$6="Yes",IF('Mass Ion Calculations'!$D$7="Yes",('Mass Ion Calculations'!$D$18+'AA Exact Masses'!$Q$2+'AA Exact Masses'!$Q$2-'Mass Ion Calculations'!$C$12-'Mass Ion Calculations'!$C6)/2-'Mass Ion Calculations'!$D$5,('Mass Ion Calculations'!$F$18+'AA Exact Masses'!$Q$2+'AA Exact Masses'!$Q$2-'Mass Ion Calculations'!$E$12-'Mass Ion Calculations'!$E6)/2-'Mass Ion Calculations'!$D$5),IF('Mass Ion Calculations'!$D$7="Yes", ('Mass Ion Calculations'!$D$15+'AA Exact Masses'!$Q$2+'AA Exact Masses'!$Q$2-'Mass Ion Calculations'!$C$12-'Mass Ion Calculations'!$C6)/2-'Mass Ion Calculations'!$D$5,('Mass Ion Calculations'!$F$15+'AA Exact Masses'!$Q$2+'AA Exact Masses'!$Q$2-'Mass Ion Calculations'!$E$12-'Mass Ion Calculations'!$E6)/2-'Mass Ion Calculations'!$D$5)))</f>
        <v>-396.08226500000001</v>
      </c>
      <c r="K5" s="3">
        <f>IF(OR($B5="",K$3=""),"",IF('Mass Ion Calculations'!$D$6="Yes",IF('Mass Ion Calculations'!$D$7="Yes",('Mass Ion Calculations'!$D$18+'AA Exact Masses'!$Q$2+'AA Exact Masses'!$Q$2-'Mass Ion Calculations'!$C$13-'Mass Ion Calculations'!$C6)/2-'Mass Ion Calculations'!$D$5,('Mass Ion Calculations'!$F$18+'AA Exact Masses'!$Q$2+'AA Exact Masses'!$Q$2-'Mass Ion Calculations'!$E$13-'Mass Ion Calculations'!$E6)/2-'Mass Ion Calculations'!$D$5),IF('Mass Ion Calculations'!$D$7="Yes", ('Mass Ion Calculations'!$D$15+'AA Exact Masses'!$Q$2+'AA Exact Masses'!$Q$2-'Mass Ion Calculations'!$C$13-'Mass Ion Calculations'!$C6)/2-'Mass Ion Calculations'!$D$5,('Mass Ion Calculations'!$F$15+'AA Exact Masses'!$Q$2+'AA Exact Masses'!$Q$2-'Mass Ion Calculations'!$E$13-'Mass Ion Calculations'!$E6)/2-'Mass Ion Calculations'!$D$5)))</f>
        <v>-403.58771999999999</v>
      </c>
      <c r="L5" s="3">
        <f>IF(OR($B5="",L$3=""),"",IF('Mass Ion Calculations'!$D$6="Yes",IF('Mass Ion Calculations'!$D$7="Yes",('Mass Ion Calculations'!$D$18+'AA Exact Masses'!$Q$2+'AA Exact Masses'!$Q$2-'Mass Ion Calculations'!$C$14-'Mass Ion Calculations'!$C6)/2-'Mass Ion Calculations'!$D$5,('Mass Ion Calculations'!$F$18+'AA Exact Masses'!$Q$2+'AA Exact Masses'!$Q$2-'Mass Ion Calculations'!$E$14-'Mass Ion Calculations'!$E6)/2-'Mass Ion Calculations'!$D$5),IF('Mass Ion Calculations'!$D$7="Yes", ('Mass Ion Calculations'!$D$15+'AA Exact Masses'!$Q$2+'AA Exact Masses'!$Q$2-'Mass Ion Calculations'!$C$14-'Mass Ion Calculations'!$C6)/2-'Mass Ion Calculations'!$D$5,('Mass Ion Calculations'!$F$15+'AA Exact Masses'!$Q$2+'AA Exact Masses'!$Q$2-'Mass Ion Calculations'!$E$14-'Mass Ion Calculations'!$E6)/2-'Mass Ion Calculations'!$D$5)))</f>
        <v>-411.06935499999997</v>
      </c>
      <c r="M5" s="3">
        <f>IF(OR($B5="",M$3=""),"",IF('Mass Ion Calculations'!$D$6="Yes",IF('Mass Ion Calculations'!$D$7="Yes",('Mass Ion Calculations'!$D$18+'AA Exact Masses'!$Q$2+'AA Exact Masses'!$Q$2-'Mass Ion Calculations'!$C$15-'Mass Ion Calculations'!$C6)/2-'Mass Ion Calculations'!$D$5,('Mass Ion Calculations'!$F$18+'AA Exact Masses'!$Q$2+'AA Exact Masses'!$Q$2-'Mass Ion Calculations'!$E$15-'Mass Ion Calculations'!$E6)/2-'Mass Ion Calculations'!$D$5),IF('Mass Ion Calculations'!$D$7="Yes", ('Mass Ion Calculations'!$D$15+'AA Exact Masses'!$Q$2+'AA Exact Masses'!$Q$2-'Mass Ion Calculations'!$C$15-'Mass Ion Calculations'!$C6)/2-'Mass Ion Calculations'!$D$5,('Mass Ion Calculations'!$F$15+'AA Exact Masses'!$Q$2+'AA Exact Masses'!$Q$2-'Mass Ion Calculations'!$E$15-'Mass Ion Calculations'!$E6)/2-'Mass Ion Calculations'!$D$5)))</f>
        <v>-404.06152999999995</v>
      </c>
      <c r="N5" s="3">
        <f>IF(OR($B5="",N$3=""),"",IF('Mass Ion Calculations'!$D$6="Yes",IF('Mass Ion Calculations'!$D$7="Yes",('Mass Ion Calculations'!$D$18+'AA Exact Masses'!$Q$2+'AA Exact Masses'!$Q$2-'Mass Ion Calculations'!$C$16-'Mass Ion Calculations'!$C6)/2-'Mass Ion Calculations'!$D$5,('Mass Ion Calculations'!$F$18+'AA Exact Masses'!$Q$2+'AA Exact Masses'!$Q$2-'Mass Ion Calculations'!$E$16-'Mass Ion Calculations'!$E6)/2-'Mass Ion Calculations'!$D$5),IF('Mass Ion Calculations'!$D$7="Yes", ('Mass Ion Calculations'!$D$15+'AA Exact Masses'!$Q$2+'AA Exact Masses'!$Q$2-'Mass Ion Calculations'!$C$16-'Mass Ion Calculations'!$C6)/2-'Mass Ion Calculations'!$D$5,('Mass Ion Calculations'!$F$15+'AA Exact Masses'!$Q$2+'AA Exact Masses'!$Q$2-'Mass Ion Calculations'!$E$16-'Mass Ion Calculations'!$E6)/2-'Mass Ion Calculations'!$D$5)))</f>
        <v>-382.06661499999996</v>
      </c>
      <c r="O5" s="3">
        <f>IF(OR($B5="",O$3=""),"",IF('Mass Ion Calculations'!$D$6="Yes",IF('Mass Ion Calculations'!$D$7="Yes",('Mass Ion Calculations'!$D$18+'AA Exact Masses'!$Q$2+'AA Exact Masses'!$Q$2-'Mass Ion Calculations'!$C$17-'Mass Ion Calculations'!$C6)/2-'Mass Ion Calculations'!$D$5,('Mass Ion Calculations'!$F$18+'AA Exact Masses'!$Q$2+'AA Exact Masses'!$Q$2-'Mass Ion Calculations'!$E$17-'Mass Ion Calculations'!$E6)/2-'Mass Ion Calculations'!$D$5),IF('Mass Ion Calculations'!$D$7="Yes", ('Mass Ion Calculations'!$D$15+'AA Exact Masses'!$Q$2+'AA Exact Masses'!$Q$2-'Mass Ion Calculations'!$C$17-'Mass Ion Calculations'!$C6)/2-'Mass Ion Calculations'!$D$5,('Mass Ion Calculations'!$F$15+'AA Exact Masses'!$Q$2+'AA Exact Masses'!$Q$2-'Mass Ion Calculations'!$E$17-'Mass Ion Calculations'!$E6)/2-'Mass Ion Calculations'!$D$5)))</f>
        <v>-420.08226500000001</v>
      </c>
      <c r="P5" s="3">
        <f>IF(OR($B5="",P$3=""),"",IF('Mass Ion Calculations'!$D$6="Yes",IF('Mass Ion Calculations'!$D$7="Yes",('Mass Ion Calculations'!$D$18+'AA Exact Masses'!$Q$2+'AA Exact Masses'!$Q$2-'Mass Ion Calculations'!$C$18-'Mass Ion Calculations'!$C6)/2-'Mass Ion Calculations'!$D$5,('Mass Ion Calculations'!$F$18+'AA Exact Masses'!$Q$2+'AA Exact Masses'!$Q$2-'Mass Ion Calculations'!$E$18-'Mass Ion Calculations'!$E6)/2-'Mass Ion Calculations'!$D$5),IF('Mass Ion Calculations'!$D$7="Yes", ('Mass Ion Calculations'!$D$15+'AA Exact Masses'!$Q$2+'AA Exact Masses'!$Q$2-'Mass Ion Calculations'!$C$18-'Mass Ion Calculations'!$C6)/2-'Mass Ion Calculations'!$D$5,('Mass Ion Calculations'!$F$15+'AA Exact Masses'!$Q$2+'AA Exact Masses'!$Q$2-'Mass Ion Calculations'!$E$18-'Mass Ion Calculations'!$E6)/2-'Mass Ion Calculations'!$D$5)))</f>
        <v>-483.03058999999996</v>
      </c>
      <c r="Q5" s="3">
        <f>IF(OR($B5="",Q$3=""),"",IF('Mass Ion Calculations'!$D$6="Yes",IF('Mass Ion Calculations'!$D$7="Yes",('Mass Ion Calculations'!$D$18+'AA Exact Masses'!$Q$2+'AA Exact Masses'!$Q$2-'Mass Ion Calculations'!$C$19-'Mass Ion Calculations'!$C6)/2-'Mass Ion Calculations'!$D$5,('Mass Ion Calculations'!$F$18+'AA Exact Masses'!$Q$2+'AA Exact Masses'!$Q$2-'Mass Ion Calculations'!$E$19-'Mass Ion Calculations'!$E6)/2-'Mass Ion Calculations'!$D$5),IF('Mass Ion Calculations'!$D$7="Yes", ('Mass Ion Calculations'!$D$15+'AA Exact Masses'!$Q$2+'AA Exact Masses'!$Q$2-'Mass Ion Calculations'!$C$19-'Mass Ion Calculations'!$C6)/2-'Mass Ion Calculations'!$D$5,('Mass Ion Calculations'!$F$15+'AA Exact Masses'!$Q$2+'AA Exact Masses'!$Q$2-'Mass Ion Calculations'!$E$19-'Mass Ion Calculations'!$E6)/2-'Mass Ion Calculations'!$D$5)))</f>
        <v>-396.08226500000001</v>
      </c>
      <c r="R5" s="3">
        <f>IF(OR($B5="",R$3=""),"",IF('Mass Ion Calculations'!$D$6="Yes",IF('Mass Ion Calculations'!$D$7="Yes",('Mass Ion Calculations'!$D$18+'AA Exact Masses'!$Q$2+'AA Exact Masses'!$Q$2-'Mass Ion Calculations'!$C$20-'Mass Ion Calculations'!$C6)/2-'Mass Ion Calculations'!$D$5,('Mass Ion Calculations'!$F$18+'AA Exact Masses'!$Q$2+'AA Exact Masses'!$Q$2-'Mass Ion Calculations'!$E$20-'Mass Ion Calculations'!$E6)/2-'Mass Ion Calculations'!$D$5),IF('Mass Ion Calculations'!$D$7="Yes", ('Mass Ion Calculations'!$D$15+'AA Exact Masses'!$Q$2+'AA Exact Masses'!$Q$2-'Mass Ion Calculations'!$C$20-'Mass Ion Calculations'!$C6)/2-'Mass Ion Calculations'!$D$5,('Mass Ion Calculations'!$F$15+'AA Exact Masses'!$Q$2+'AA Exact Masses'!$Q$2-'Mass Ion Calculations'!$E$20-'Mass Ion Calculations'!$E6)/2-'Mass Ion Calculations'!$D$5)))</f>
        <v>-403.09008999999992</v>
      </c>
      <c r="S5" s="3" t="str">
        <f>IF(OR($B5="",S$3=""),"",IF('Mass Ion Calculations'!$D$6="Yes",IF('Mass Ion Calculations'!$D$7="Yes",('Mass Ion Calculations'!$D$18+'AA Exact Masses'!$Q$2+'AA Exact Masses'!$Q$2-'Mass Ion Calculations'!$C$21-'Mass Ion Calculations'!$C6)/2-'Mass Ion Calculations'!$D$5,('Mass Ion Calculations'!$F$18+'AA Exact Masses'!$Q$2+'AA Exact Masses'!$Q$2-'Mass Ion Calculations'!$E$21-'Mass Ion Calculations'!$E6)/2-'Mass Ion Calculations'!$D$5),IF('Mass Ion Calculations'!$D$7="Yes", ('Mass Ion Calculations'!$D$15+'AA Exact Masses'!$Q$2+'AA Exact Masses'!$Q$2-'Mass Ion Calculations'!$C$21-'Mass Ion Calculations'!$C6)/2-'Mass Ion Calculations'!$D$5,('Mass Ion Calculations'!$F$15+'AA Exact Masses'!$Q$2+'AA Exact Masses'!$Q$2-'Mass Ion Calculations'!$E$21-'Mass Ion Calculations'!$E6)/2-'Mass Ion Calculations'!$D$5)))</f>
        <v/>
      </c>
      <c r="T5" s="3" t="e">
        <f>IF(OR($B5="",T$3=""),"",IF('Mass Ion Calculations'!$D$6="Yes",IF('Mass Ion Calculations'!$D$7="Yes",('Mass Ion Calculations'!$D$18+'AA Exact Masses'!$Q$2+'AA Exact Masses'!$Q$2-'Mass Ion Calculations'!$C$22-'Mass Ion Calculations'!$C6)/2-'Mass Ion Calculations'!$D$5,('Mass Ion Calculations'!$F$18+'AA Exact Masses'!$Q$2+'AA Exact Masses'!$Q$2-'Mass Ion Calculations'!$E$22-'Mass Ion Calculations'!$E6)/2-'Mass Ion Calculations'!$D$5),IF('Mass Ion Calculations'!$D$7="Yes", ('Mass Ion Calculations'!$D$15+'AA Exact Masses'!$Q$2+'AA Exact Masses'!$Q$2-'Mass Ion Calculations'!$C$22-'Mass Ion Calculations'!$C6)/2-'Mass Ion Calculations'!$D$5,('Mass Ion Calculations'!$F$15+'AA Exact Masses'!$Q$2+'AA Exact Masses'!$Q$2-'Mass Ion Calculations'!$E$22-'Mass Ion Calculations'!$E6)/2-'Mass Ion Calculations'!$D$5)))</f>
        <v>#VALUE!</v>
      </c>
      <c r="U5" s="3" t="e">
        <f>IF(OR($B5="",U$3=""),"",IF('Mass Ion Calculations'!$D$6="Yes",IF('Mass Ion Calculations'!$D$7="Yes",('Mass Ion Calculations'!$D$18+'AA Exact Masses'!$Q$2+'AA Exact Masses'!$Q$2-'Mass Ion Calculations'!$C$23-'Mass Ion Calculations'!$C6)/2-'Mass Ion Calculations'!$D$5,('Mass Ion Calculations'!$F$18+'AA Exact Masses'!$Q$2+'AA Exact Masses'!$Q$2-'Mass Ion Calculations'!$E$23-'Mass Ion Calculations'!$E6)/2-'Mass Ion Calculations'!$D$5),IF('Mass Ion Calculations'!$D$7="Yes", ('Mass Ion Calculations'!$D$15+'AA Exact Masses'!$Q$2+'AA Exact Masses'!$Q$2-'Mass Ion Calculations'!$C$23-'Mass Ion Calculations'!$C6)/2-'Mass Ion Calculations'!$D$5,('Mass Ion Calculations'!$F$15+'AA Exact Masses'!$Q$2+'AA Exact Masses'!$Q$2-'Mass Ion Calculations'!$E$23-'Mass Ion Calculations'!$E6)/2-'Mass Ion Calculations'!$D$5)))</f>
        <v>#VALUE!</v>
      </c>
      <c r="V5" s="3" t="str">
        <f>IF(OR($B5="",V$3=""),"",IF('Mass Ion Calculations'!$D$6="Yes",IF('Mass Ion Calculations'!$D$7="Yes",('Mass Ion Calculations'!$D$18+'AA Exact Masses'!$Q$2+'AA Exact Masses'!$Q$2-'Mass Ion Calculations'!$C$24-'Mass Ion Calculations'!$C6)/2-'Mass Ion Calculations'!$D$5,('Mass Ion Calculations'!$F$18+'AA Exact Masses'!$Q$2+'AA Exact Masses'!$Q$2-'Mass Ion Calculations'!$E$24-'Mass Ion Calculations'!$E6)/2-'Mass Ion Calculations'!$D$5),IF('Mass Ion Calculations'!$D$7="Yes", ('Mass Ion Calculations'!$D$15+'AA Exact Masses'!$Q$2+'AA Exact Masses'!$Q$2-'Mass Ion Calculations'!$C$24-'Mass Ion Calculations'!$C6)/2-'Mass Ion Calculations'!$D$5,('Mass Ion Calculations'!$F$15+'AA Exact Masses'!$Q$2+'AA Exact Masses'!$Q$2-'Mass Ion Calculations'!$E$24-'Mass Ion Calculations'!$E6)/2-'Mass Ion Calculations'!$D$5)))</f>
        <v/>
      </c>
      <c r="W5" s="3" t="str">
        <f>IF(OR($B5="",W$3=""),"",IF('Mass Ion Calculations'!$D$6="Yes",IF('Mass Ion Calculations'!$D$7="Yes",('Mass Ion Calculations'!$D$18+'AA Exact Masses'!$Q$2+'AA Exact Masses'!$Q$2-'Mass Ion Calculations'!$C$25-'Mass Ion Calculations'!$C6)/2-'Mass Ion Calculations'!$D$5,('Mass Ion Calculations'!$F$18+'AA Exact Masses'!$Q$2+'AA Exact Masses'!$Q$2-'Mass Ion Calculations'!$E$25-'Mass Ion Calculations'!$E6)/2-'Mass Ion Calculations'!$D$5),IF('Mass Ion Calculations'!$D$7="Yes", ('Mass Ion Calculations'!$D$15+'AA Exact Masses'!$Q$2+'AA Exact Masses'!$Q$2-'Mass Ion Calculations'!$C$25-'Mass Ion Calculations'!$C6)/2-'Mass Ion Calculations'!$D$5,('Mass Ion Calculations'!$F$15+'AA Exact Masses'!$Q$2+'AA Exact Masses'!$Q$2-'Mass Ion Calculations'!$E$25-'Mass Ion Calculations'!$E6)/2-'Mass Ion Calculations'!$D$5)))</f>
        <v/>
      </c>
      <c r="X5" s="3" t="str">
        <f>IF(OR($B5="",X$3=""),"",IF('Mass Ion Calculations'!$D$6="Yes",IF('Mass Ion Calculations'!$D$7="Yes",('Mass Ion Calculations'!$D$18+'AA Exact Masses'!$Q$2+'AA Exact Masses'!$Q$2-'Mass Ion Calculations'!$C$26-'Mass Ion Calculations'!$C6)/2-'Mass Ion Calculations'!$D$5,('Mass Ion Calculations'!$F$18+'AA Exact Masses'!$Q$2+'AA Exact Masses'!$Q$2-'Mass Ion Calculations'!$E$26-'Mass Ion Calculations'!$E6)/2-'Mass Ion Calculations'!$D$5),IF('Mass Ion Calculations'!$D$7="Yes", ('Mass Ion Calculations'!$D$15+'AA Exact Masses'!$Q$2+'AA Exact Masses'!$Q$2-'Mass Ion Calculations'!$C$26-'Mass Ion Calculations'!$C6)/2-'Mass Ion Calculations'!$D$5,('Mass Ion Calculations'!$F$15+'AA Exact Masses'!$Q$2+'AA Exact Masses'!$Q$2-'Mass Ion Calculations'!$E$26-'Mass Ion Calculations'!$E6)/2-'Mass Ion Calculations'!$D$5)))</f>
        <v/>
      </c>
      <c r="Y5" s="3" t="str">
        <f>IF(OR($B5="",Y$3=""),"",IF('Mass Ion Calculations'!$D$6="Yes",IF('Mass Ion Calculations'!$D$7="Yes",('Mass Ion Calculations'!$D$18+'AA Exact Masses'!$Q$2+'AA Exact Masses'!$Q$2-'Mass Ion Calculations'!$C$27-'Mass Ion Calculations'!$C6)/2-'Mass Ion Calculations'!$D$5,('Mass Ion Calculations'!$F$18+'AA Exact Masses'!$Q$2+'AA Exact Masses'!$Q$2-'Mass Ion Calculations'!$E$27-'Mass Ion Calculations'!$E6)/2-'Mass Ion Calculations'!$D$5),IF('Mass Ion Calculations'!$D$7="Yes", ('Mass Ion Calculations'!$D$15+'AA Exact Masses'!$Q$2+'AA Exact Masses'!$Q$2-'Mass Ion Calculations'!$C$27-'Mass Ion Calculations'!$C6)/2-'Mass Ion Calculations'!$D$5,('Mass Ion Calculations'!$F$15+'AA Exact Masses'!$Q$2+'AA Exact Masses'!$Q$2-'Mass Ion Calculations'!$E$27-'Mass Ion Calculations'!$E6)/2-'Mass Ion Calculations'!$D$5)))</f>
        <v/>
      </c>
      <c r="Z5" s="3" t="str">
        <f>IF(OR($B5="",Z$3=""),"",IF('Mass Ion Calculations'!$D$6="Yes",IF('Mass Ion Calculations'!$D$7="Yes",('Mass Ion Calculations'!$D$18+'AA Exact Masses'!$Q$2+'AA Exact Masses'!$Q$2-'Mass Ion Calculations'!$C$28-'Mass Ion Calculations'!$C6)/2-'Mass Ion Calculations'!$D$5,('Mass Ion Calculations'!$F$18+'AA Exact Masses'!$Q$2+'AA Exact Masses'!$Q$2-'Mass Ion Calculations'!$E$28-'Mass Ion Calculations'!$E6)/2-'Mass Ion Calculations'!$D$5),IF('Mass Ion Calculations'!$D$7="Yes", ('Mass Ion Calculations'!$D$15+'AA Exact Masses'!$Q$2+'AA Exact Masses'!$Q$2-'Mass Ion Calculations'!$C$28-'Mass Ion Calculations'!$C6)/2-'Mass Ion Calculations'!$D$5,('Mass Ion Calculations'!$F$15+'AA Exact Masses'!$Q$2+'AA Exact Masses'!$Q$2-'Mass Ion Calculations'!$E$28-'Mass Ion Calculations'!$E6)/2-'Mass Ion Calculations'!$D$5)))</f>
        <v/>
      </c>
    </row>
    <row r="6" spans="2:26" x14ac:dyDescent="0.25">
      <c r="B6" s="4" t="str">
        <f>IF('Mass Ion Calculations'!B7="","", 'Mass Ion Calculations'!B7)</f>
        <v>Ile</v>
      </c>
      <c r="C6" s="3">
        <f>IF(OR($B6="",C$3=""),"",IF('Mass Ion Calculations'!$D$6="Yes",IF('Mass Ion Calculations'!$D$7="Yes",('Mass Ion Calculations'!$D$18+'AA Exact Masses'!$Q$2+'AA Exact Masses'!$Q$2-'Mass Ion Calculations'!$C$5-'Mass Ion Calculations'!$C7)/2-'Mass Ion Calculations'!$D$5,('Mass Ion Calculations'!$F$18+'AA Exact Masses'!$Q$2+'AA Exact Masses'!$Q$2-'Mass Ion Calculations'!$E$5-'Mass Ion Calculations'!$E7)/2-'Mass Ion Calculations'!$D$5),IF('Mass Ion Calculations'!$D$7="Yes", ('Mass Ion Calculations'!$D$15+'AA Exact Masses'!$Q$2+'AA Exact Masses'!$Q$2-'Mass Ion Calculations'!$C$5-'Mass Ion Calculations'!$C7)/2-'Mass Ion Calculations'!$D$5,('Mass Ion Calculations'!$F$15+'AA Exact Masses'!$Q$2+'AA Exact Masses'!$Q$2-'Mass Ion Calculations'!$E$5-'Mass Ion Calculations'!$E7)/2-'Mass Ion Calculations'!$D$5)))</f>
        <v>-424.61119499999995</v>
      </c>
      <c r="D6" s="3">
        <f>IF(OR($B6="",D$3=""),"",IF('Mass Ion Calculations'!$D$6="Yes",IF('Mass Ion Calculations'!$D$7="Yes",('Mass Ion Calculations'!$D$18+'AA Exact Masses'!$Q$2+'AA Exact Masses'!$Q$2-'Mass Ion Calculations'!$C$6-'Mass Ion Calculations'!$C7)/2-'Mass Ion Calculations'!$D$5,('Mass Ion Calculations'!$F$18+'AA Exact Masses'!$Q$2+'AA Exact Masses'!$Q$2-'Mass Ion Calculations'!$E$6-'Mass Ion Calculations'!$E7)/2-'Mass Ion Calculations'!$D$5),IF('Mass Ion Calculations'!$D$7="Yes", ('Mass Ion Calculations'!$D$15+'AA Exact Masses'!$Q$2+'AA Exact Masses'!$Q$2-'Mass Ion Calculations'!$C$6-'Mass Ion Calculations'!$C7)/2-'Mass Ion Calculations'!$D$5,('Mass Ion Calculations'!$F$15+'AA Exact Masses'!$Q$2+'AA Exact Masses'!$Q$2-'Mass Ion Calculations'!$E$6-'Mass Ion Calculations'!$E7)/2-'Mass Ion Calculations'!$D$5)))</f>
        <v>-403.09008999999992</v>
      </c>
      <c r="E6" s="3">
        <f>IF(OR($B6="",E$3=""),"",IF('Mass Ion Calculations'!$D$6="Yes",IF('Mass Ion Calculations'!$D$7="Yes",('Mass Ion Calculations'!$D$18+'AA Exact Masses'!$Q$2+'AA Exact Masses'!$Q$2-'Mass Ion Calculations'!$C$7-'Mass Ion Calculations'!$C7)/2-'Mass Ion Calculations'!$D$5,('Mass Ion Calculations'!$F$18+'AA Exact Masses'!$Q$2+'AA Exact Masses'!$Q$2-'Mass Ion Calculations'!$E$7-'Mass Ion Calculations'!$E7)/2-'Mass Ion Calculations'!$D$5),IF('Mass Ion Calculations'!$D$7="Yes", ('Mass Ion Calculations'!$D$15+'AA Exact Masses'!$Q$2+'AA Exact Masses'!$Q$2-'Mass Ion Calculations'!$C$7-'Mass Ion Calculations'!$C7)/2-'Mass Ion Calculations'!$D$5,('Mass Ion Calculations'!$F$15+'AA Exact Masses'!$Q$2+'AA Exact Masses'!$Q$2-'Mass Ion Calculations'!$E$7-'Mass Ion Calculations'!$E7)/2-'Mass Ion Calculations'!$D$5)))</f>
        <v>-424.11356499999988</v>
      </c>
      <c r="F6" s="3">
        <f>IF(OR($B6="",F$3=""),"",IF('Mass Ion Calculations'!$D$6="Yes",IF('Mass Ion Calculations'!$D$7="Yes",('Mass Ion Calculations'!$D$18+'AA Exact Masses'!$Q$2+'AA Exact Masses'!$Q$2-'Mass Ion Calculations'!$C$8-'Mass Ion Calculations'!$C7)/2-'Mass Ion Calculations'!$D$5,('Mass Ion Calculations'!$F$18+'AA Exact Masses'!$Q$2+'AA Exact Masses'!$Q$2-'Mass Ion Calculations'!$E$8-'Mass Ion Calculations'!$E7)/2-'Mass Ion Calculations'!$D$5),IF('Mass Ion Calculations'!$D$7="Yes", ('Mass Ion Calculations'!$D$15+'AA Exact Masses'!$Q$2+'AA Exact Masses'!$Q$2-'Mass Ion Calculations'!$C$8-'Mass Ion Calculations'!$C7)/2-'Mass Ion Calculations'!$D$5,('Mass Ion Calculations'!$F$15+'AA Exact Masses'!$Q$2+'AA Exact Masses'!$Q$2-'Mass Ion Calculations'!$E$8-'Mass Ion Calculations'!$E7)/2-'Mass Ion Calculations'!$D$5)))</f>
        <v>-424.11356499999988</v>
      </c>
      <c r="G6" s="3">
        <f>IF(OR($B6="",G$3=""),"",IF('Mass Ion Calculations'!$D$6="Yes",IF('Mass Ion Calculations'!$D$7="Yes",('Mass Ion Calculations'!$D$18+'AA Exact Masses'!$Q$2+'AA Exact Masses'!$Q$2-'Mass Ion Calculations'!$C$9-'Mass Ion Calculations'!$C7)/2-'Mass Ion Calculations'!$D$5,('Mass Ion Calculations'!$F$18+'AA Exact Masses'!$Q$2+'AA Exact Masses'!$Q$2-'Mass Ion Calculations'!$E$9-'Mass Ion Calculations'!$E7)/2-'Mass Ion Calculations'!$D$5),IF('Mass Ion Calculations'!$D$7="Yes", ('Mass Ion Calculations'!$D$15+'AA Exact Masses'!$Q$2+'AA Exact Masses'!$Q$2-'Mass Ion Calculations'!$C$9-'Mass Ion Calculations'!$C7)/2-'Mass Ion Calculations'!$D$5,('Mass Ion Calculations'!$F$15+'AA Exact Masses'!$Q$2+'AA Exact Masses'!$Q$2-'Mass Ion Calculations'!$E$9-'Mass Ion Calculations'!$E7)/2-'Mass Ion Calculations'!$D$5)))</f>
        <v>-403.09008999999992</v>
      </c>
      <c r="H6" s="3">
        <f>IF(OR($B6="",H$3=""),"",IF('Mass Ion Calculations'!$D$6="Yes",IF('Mass Ion Calculations'!$D$7="Yes",('Mass Ion Calculations'!$D$18+'AA Exact Masses'!$Q$2+'AA Exact Masses'!$Q$2-'Mass Ion Calculations'!$C$10-'Mass Ion Calculations'!$C7)/2-'Mass Ion Calculations'!$D$5,('Mass Ion Calculations'!$F$18+'AA Exact Masses'!$Q$2+'AA Exact Masses'!$Q$2-'Mass Ion Calculations'!$E$10-'Mass Ion Calculations'!$E7)/2-'Mass Ion Calculations'!$D$5),IF('Mass Ion Calculations'!$D$7="Yes", ('Mass Ion Calculations'!$D$15+'AA Exact Masses'!$Q$2+'AA Exact Masses'!$Q$2-'Mass Ion Calculations'!$C$10-'Mass Ion Calculations'!$C7)/2-'Mass Ion Calculations'!$D$5,('Mass Ion Calculations'!$F$15+'AA Exact Masses'!$Q$2+'AA Exact Masses'!$Q$2-'Mass Ion Calculations'!$E$10-'Mass Ion Calculations'!$E7)/2-'Mass Ion Calculations'!$D$5)))</f>
        <v>-424.11356499999988</v>
      </c>
      <c r="I6" s="3">
        <f>IF(OR($B6="",I$3=""),"",IF('Mass Ion Calculations'!$D$6="Yes",IF('Mass Ion Calculations'!$D$7="Yes",('Mass Ion Calculations'!$D$18+'AA Exact Masses'!$Q$2+'AA Exact Masses'!$Q$2-'Mass Ion Calculations'!$C$11-'Mass Ion Calculations'!$C7)/2-'Mass Ion Calculations'!$D$5,('Mass Ion Calculations'!$F$18+'AA Exact Masses'!$Q$2+'AA Exact Masses'!$Q$2-'Mass Ion Calculations'!$E$11-'Mass Ion Calculations'!$E7)/2-'Mass Ion Calculations'!$D$5),IF('Mass Ion Calculations'!$D$7="Yes", ('Mass Ion Calculations'!$D$15+'AA Exact Masses'!$Q$2+'AA Exact Masses'!$Q$2-'Mass Ion Calculations'!$C$11-'Mass Ion Calculations'!$C7)/2-'Mass Ion Calculations'!$D$5,('Mass Ion Calculations'!$F$15+'AA Exact Masses'!$Q$2+'AA Exact Masses'!$Q$2-'Mass Ion Calculations'!$E$11-'Mass Ion Calculations'!$E7)/2-'Mass Ion Calculations'!$D$5)))</f>
        <v>-424.61119499999995</v>
      </c>
      <c r="J6" s="3">
        <f>IF(OR($B6="",J$3=""),"",IF('Mass Ion Calculations'!$D$6="Yes",IF('Mass Ion Calculations'!$D$7="Yes",('Mass Ion Calculations'!$D$18+'AA Exact Masses'!$Q$2+'AA Exact Masses'!$Q$2-'Mass Ion Calculations'!$C$12-'Mass Ion Calculations'!$C7)/2-'Mass Ion Calculations'!$D$5,('Mass Ion Calculations'!$F$18+'AA Exact Masses'!$Q$2+'AA Exact Masses'!$Q$2-'Mass Ion Calculations'!$E$12-'Mass Ion Calculations'!$E7)/2-'Mass Ion Calculations'!$D$5),IF('Mass Ion Calculations'!$D$7="Yes", ('Mass Ion Calculations'!$D$15+'AA Exact Masses'!$Q$2+'AA Exact Masses'!$Q$2-'Mass Ion Calculations'!$C$12-'Mass Ion Calculations'!$C7)/2-'Mass Ion Calculations'!$D$5,('Mass Ion Calculations'!$F$15+'AA Exact Masses'!$Q$2+'AA Exact Masses'!$Q$2-'Mass Ion Calculations'!$E$12-'Mass Ion Calculations'!$E7)/2-'Mass Ion Calculations'!$D$5)))</f>
        <v>-417.10573999999997</v>
      </c>
      <c r="K6" s="3">
        <f>IF(OR($B6="",K$3=""),"",IF('Mass Ion Calculations'!$D$6="Yes",IF('Mass Ion Calculations'!$D$7="Yes",('Mass Ion Calculations'!$D$18+'AA Exact Masses'!$Q$2+'AA Exact Masses'!$Q$2-'Mass Ion Calculations'!$C$13-'Mass Ion Calculations'!$C7)/2-'Mass Ion Calculations'!$D$5,('Mass Ion Calculations'!$F$18+'AA Exact Masses'!$Q$2+'AA Exact Masses'!$Q$2-'Mass Ion Calculations'!$E$13-'Mass Ion Calculations'!$E7)/2-'Mass Ion Calculations'!$D$5),IF('Mass Ion Calculations'!$D$7="Yes", ('Mass Ion Calculations'!$D$15+'AA Exact Masses'!$Q$2+'AA Exact Masses'!$Q$2-'Mass Ion Calculations'!$C$13-'Mass Ion Calculations'!$C7)/2-'Mass Ion Calculations'!$D$5,('Mass Ion Calculations'!$F$15+'AA Exact Masses'!$Q$2+'AA Exact Masses'!$Q$2-'Mass Ion Calculations'!$E$13-'Mass Ion Calculations'!$E7)/2-'Mass Ion Calculations'!$D$5)))</f>
        <v>-424.61119499999995</v>
      </c>
      <c r="L6" s="3">
        <f>IF(OR($B6="",L$3=""),"",IF('Mass Ion Calculations'!$D$6="Yes",IF('Mass Ion Calculations'!$D$7="Yes",('Mass Ion Calculations'!$D$18+'AA Exact Masses'!$Q$2+'AA Exact Masses'!$Q$2-'Mass Ion Calculations'!$C$14-'Mass Ion Calculations'!$C7)/2-'Mass Ion Calculations'!$D$5,('Mass Ion Calculations'!$F$18+'AA Exact Masses'!$Q$2+'AA Exact Masses'!$Q$2-'Mass Ion Calculations'!$E$14-'Mass Ion Calculations'!$E7)/2-'Mass Ion Calculations'!$D$5),IF('Mass Ion Calculations'!$D$7="Yes", ('Mass Ion Calculations'!$D$15+'AA Exact Masses'!$Q$2+'AA Exact Masses'!$Q$2-'Mass Ion Calculations'!$C$14-'Mass Ion Calculations'!$C7)/2-'Mass Ion Calculations'!$D$5,('Mass Ion Calculations'!$F$15+'AA Exact Masses'!$Q$2+'AA Exact Masses'!$Q$2-'Mass Ion Calculations'!$E$14-'Mass Ion Calculations'!$E7)/2-'Mass Ion Calculations'!$D$5)))</f>
        <v>-432.09282999999994</v>
      </c>
      <c r="M6" s="3">
        <f>IF(OR($B6="",M$3=""),"",IF('Mass Ion Calculations'!$D$6="Yes",IF('Mass Ion Calculations'!$D$7="Yes",('Mass Ion Calculations'!$D$18+'AA Exact Masses'!$Q$2+'AA Exact Masses'!$Q$2-'Mass Ion Calculations'!$C$15-'Mass Ion Calculations'!$C7)/2-'Mass Ion Calculations'!$D$5,('Mass Ion Calculations'!$F$18+'AA Exact Masses'!$Q$2+'AA Exact Masses'!$Q$2-'Mass Ion Calculations'!$E$15-'Mass Ion Calculations'!$E7)/2-'Mass Ion Calculations'!$D$5),IF('Mass Ion Calculations'!$D$7="Yes", ('Mass Ion Calculations'!$D$15+'AA Exact Masses'!$Q$2+'AA Exact Masses'!$Q$2-'Mass Ion Calculations'!$C$15-'Mass Ion Calculations'!$C7)/2-'Mass Ion Calculations'!$D$5,('Mass Ion Calculations'!$F$15+'AA Exact Masses'!$Q$2+'AA Exact Masses'!$Q$2-'Mass Ion Calculations'!$E$15-'Mass Ion Calculations'!$E7)/2-'Mass Ion Calculations'!$D$5)))</f>
        <v>-425.08500499999991</v>
      </c>
      <c r="N6" s="3">
        <f>IF(OR($B6="",N$3=""),"",IF('Mass Ion Calculations'!$D$6="Yes",IF('Mass Ion Calculations'!$D$7="Yes",('Mass Ion Calculations'!$D$18+'AA Exact Masses'!$Q$2+'AA Exact Masses'!$Q$2-'Mass Ion Calculations'!$C$16-'Mass Ion Calculations'!$C7)/2-'Mass Ion Calculations'!$D$5,('Mass Ion Calculations'!$F$18+'AA Exact Masses'!$Q$2+'AA Exact Masses'!$Q$2-'Mass Ion Calculations'!$E$16-'Mass Ion Calculations'!$E7)/2-'Mass Ion Calculations'!$D$5),IF('Mass Ion Calculations'!$D$7="Yes", ('Mass Ion Calculations'!$D$15+'AA Exact Masses'!$Q$2+'AA Exact Masses'!$Q$2-'Mass Ion Calculations'!$C$16-'Mass Ion Calculations'!$C7)/2-'Mass Ion Calculations'!$D$5,('Mass Ion Calculations'!$F$15+'AA Exact Masses'!$Q$2+'AA Exact Masses'!$Q$2-'Mass Ion Calculations'!$E$16-'Mass Ion Calculations'!$E7)/2-'Mass Ion Calculations'!$D$5)))</f>
        <v>-403.09008999999992</v>
      </c>
      <c r="O6" s="3">
        <f>IF(OR($B6="",O$3=""),"",IF('Mass Ion Calculations'!$D$6="Yes",IF('Mass Ion Calculations'!$D$7="Yes",('Mass Ion Calculations'!$D$18+'AA Exact Masses'!$Q$2+'AA Exact Masses'!$Q$2-'Mass Ion Calculations'!$C$17-'Mass Ion Calculations'!$C7)/2-'Mass Ion Calculations'!$D$5,('Mass Ion Calculations'!$F$18+'AA Exact Masses'!$Q$2+'AA Exact Masses'!$Q$2-'Mass Ion Calculations'!$E$17-'Mass Ion Calculations'!$E7)/2-'Mass Ion Calculations'!$D$5),IF('Mass Ion Calculations'!$D$7="Yes", ('Mass Ion Calculations'!$D$15+'AA Exact Masses'!$Q$2+'AA Exact Masses'!$Q$2-'Mass Ion Calculations'!$C$17-'Mass Ion Calculations'!$C7)/2-'Mass Ion Calculations'!$D$5,('Mass Ion Calculations'!$F$15+'AA Exact Masses'!$Q$2+'AA Exact Masses'!$Q$2-'Mass Ion Calculations'!$E$17-'Mass Ion Calculations'!$E7)/2-'Mass Ion Calculations'!$D$5)))</f>
        <v>-441.10573999999997</v>
      </c>
      <c r="P6" s="3">
        <f>IF(OR($B6="",P$3=""),"",IF('Mass Ion Calculations'!$D$6="Yes",IF('Mass Ion Calculations'!$D$7="Yes",('Mass Ion Calculations'!$D$18+'AA Exact Masses'!$Q$2+'AA Exact Masses'!$Q$2-'Mass Ion Calculations'!$C$18-'Mass Ion Calculations'!$C7)/2-'Mass Ion Calculations'!$D$5,('Mass Ion Calculations'!$F$18+'AA Exact Masses'!$Q$2+'AA Exact Masses'!$Q$2-'Mass Ion Calculations'!$E$18-'Mass Ion Calculations'!$E7)/2-'Mass Ion Calculations'!$D$5),IF('Mass Ion Calculations'!$D$7="Yes", ('Mass Ion Calculations'!$D$15+'AA Exact Masses'!$Q$2+'AA Exact Masses'!$Q$2-'Mass Ion Calculations'!$C$18-'Mass Ion Calculations'!$C7)/2-'Mass Ion Calculations'!$D$5,('Mass Ion Calculations'!$F$15+'AA Exact Masses'!$Q$2+'AA Exact Masses'!$Q$2-'Mass Ion Calculations'!$E$18-'Mass Ion Calculations'!$E7)/2-'Mass Ion Calculations'!$D$5)))</f>
        <v>-504.05406499999992</v>
      </c>
      <c r="Q6" s="3">
        <f>IF(OR($B6="",Q$3=""),"",IF('Mass Ion Calculations'!$D$6="Yes",IF('Mass Ion Calculations'!$D$7="Yes",('Mass Ion Calculations'!$D$18+'AA Exact Masses'!$Q$2+'AA Exact Masses'!$Q$2-'Mass Ion Calculations'!$C$19-'Mass Ion Calculations'!$C7)/2-'Mass Ion Calculations'!$D$5,('Mass Ion Calculations'!$F$18+'AA Exact Masses'!$Q$2+'AA Exact Masses'!$Q$2-'Mass Ion Calculations'!$E$19-'Mass Ion Calculations'!$E7)/2-'Mass Ion Calculations'!$D$5),IF('Mass Ion Calculations'!$D$7="Yes", ('Mass Ion Calculations'!$D$15+'AA Exact Masses'!$Q$2+'AA Exact Masses'!$Q$2-'Mass Ion Calculations'!$C$19-'Mass Ion Calculations'!$C7)/2-'Mass Ion Calculations'!$D$5,('Mass Ion Calculations'!$F$15+'AA Exact Masses'!$Q$2+'AA Exact Masses'!$Q$2-'Mass Ion Calculations'!$E$19-'Mass Ion Calculations'!$E7)/2-'Mass Ion Calculations'!$D$5)))</f>
        <v>-417.10573999999997</v>
      </c>
      <c r="R6" s="3">
        <f>IF(OR($B6="",R$3=""),"",IF('Mass Ion Calculations'!$D$6="Yes",IF('Mass Ion Calculations'!$D$7="Yes",('Mass Ion Calculations'!$D$18+'AA Exact Masses'!$Q$2+'AA Exact Masses'!$Q$2-'Mass Ion Calculations'!$C$20-'Mass Ion Calculations'!$C7)/2-'Mass Ion Calculations'!$D$5,('Mass Ion Calculations'!$F$18+'AA Exact Masses'!$Q$2+'AA Exact Masses'!$Q$2-'Mass Ion Calculations'!$E$20-'Mass Ion Calculations'!$E7)/2-'Mass Ion Calculations'!$D$5),IF('Mass Ion Calculations'!$D$7="Yes", ('Mass Ion Calculations'!$D$15+'AA Exact Masses'!$Q$2+'AA Exact Masses'!$Q$2-'Mass Ion Calculations'!$C$20-'Mass Ion Calculations'!$C7)/2-'Mass Ion Calculations'!$D$5,('Mass Ion Calculations'!$F$15+'AA Exact Masses'!$Q$2+'AA Exact Masses'!$Q$2-'Mass Ion Calculations'!$E$20-'Mass Ion Calculations'!$E7)/2-'Mass Ion Calculations'!$D$5)))</f>
        <v>-424.11356499999988</v>
      </c>
      <c r="S6" s="3" t="str">
        <f>IF(OR($B6="",S$3=""),"",IF('Mass Ion Calculations'!$D$6="Yes",IF('Mass Ion Calculations'!$D$7="Yes",('Mass Ion Calculations'!$D$18+'AA Exact Masses'!$Q$2+'AA Exact Masses'!$Q$2-'Mass Ion Calculations'!$C$21-'Mass Ion Calculations'!$C7)/2-'Mass Ion Calculations'!$D$5,('Mass Ion Calculations'!$F$18+'AA Exact Masses'!$Q$2+'AA Exact Masses'!$Q$2-'Mass Ion Calculations'!$E$21-'Mass Ion Calculations'!$E7)/2-'Mass Ion Calculations'!$D$5),IF('Mass Ion Calculations'!$D$7="Yes", ('Mass Ion Calculations'!$D$15+'AA Exact Masses'!$Q$2+'AA Exact Masses'!$Q$2-'Mass Ion Calculations'!$C$21-'Mass Ion Calculations'!$C7)/2-'Mass Ion Calculations'!$D$5,('Mass Ion Calculations'!$F$15+'AA Exact Masses'!$Q$2+'AA Exact Masses'!$Q$2-'Mass Ion Calculations'!$E$21-'Mass Ion Calculations'!$E7)/2-'Mass Ion Calculations'!$D$5)))</f>
        <v/>
      </c>
      <c r="T6" s="3" t="e">
        <f>IF(OR($B6="",T$3=""),"",IF('Mass Ion Calculations'!$D$6="Yes",IF('Mass Ion Calculations'!$D$7="Yes",('Mass Ion Calculations'!$D$18+'AA Exact Masses'!$Q$2+'AA Exact Masses'!$Q$2-'Mass Ion Calculations'!$C$22-'Mass Ion Calculations'!$C7)/2-'Mass Ion Calculations'!$D$5,('Mass Ion Calculations'!$F$18+'AA Exact Masses'!$Q$2+'AA Exact Masses'!$Q$2-'Mass Ion Calculations'!$E$22-'Mass Ion Calculations'!$E7)/2-'Mass Ion Calculations'!$D$5),IF('Mass Ion Calculations'!$D$7="Yes", ('Mass Ion Calculations'!$D$15+'AA Exact Masses'!$Q$2+'AA Exact Masses'!$Q$2-'Mass Ion Calculations'!$C$22-'Mass Ion Calculations'!$C7)/2-'Mass Ion Calculations'!$D$5,('Mass Ion Calculations'!$F$15+'AA Exact Masses'!$Q$2+'AA Exact Masses'!$Q$2-'Mass Ion Calculations'!$E$22-'Mass Ion Calculations'!$E7)/2-'Mass Ion Calculations'!$D$5)))</f>
        <v>#VALUE!</v>
      </c>
      <c r="U6" s="3" t="e">
        <f>IF(OR($B6="",U$3=""),"",IF('Mass Ion Calculations'!$D$6="Yes",IF('Mass Ion Calculations'!$D$7="Yes",('Mass Ion Calculations'!$D$18+'AA Exact Masses'!$Q$2+'AA Exact Masses'!$Q$2-'Mass Ion Calculations'!$C$23-'Mass Ion Calculations'!$C7)/2-'Mass Ion Calculations'!$D$5,('Mass Ion Calculations'!$F$18+'AA Exact Masses'!$Q$2+'AA Exact Masses'!$Q$2-'Mass Ion Calculations'!$E$23-'Mass Ion Calculations'!$E7)/2-'Mass Ion Calculations'!$D$5),IF('Mass Ion Calculations'!$D$7="Yes", ('Mass Ion Calculations'!$D$15+'AA Exact Masses'!$Q$2+'AA Exact Masses'!$Q$2-'Mass Ion Calculations'!$C$23-'Mass Ion Calculations'!$C7)/2-'Mass Ion Calculations'!$D$5,('Mass Ion Calculations'!$F$15+'AA Exact Masses'!$Q$2+'AA Exact Masses'!$Q$2-'Mass Ion Calculations'!$E$23-'Mass Ion Calculations'!$E7)/2-'Mass Ion Calculations'!$D$5)))</f>
        <v>#VALUE!</v>
      </c>
      <c r="V6" s="3" t="str">
        <f>IF(OR($B6="",V$3=""),"",IF('Mass Ion Calculations'!$D$6="Yes",IF('Mass Ion Calculations'!$D$7="Yes",('Mass Ion Calculations'!$D$18+'AA Exact Masses'!$Q$2+'AA Exact Masses'!$Q$2-'Mass Ion Calculations'!$C$24-'Mass Ion Calculations'!$C7)/2-'Mass Ion Calculations'!$D$5,('Mass Ion Calculations'!$F$18+'AA Exact Masses'!$Q$2+'AA Exact Masses'!$Q$2-'Mass Ion Calculations'!$E$24-'Mass Ion Calculations'!$E7)/2-'Mass Ion Calculations'!$D$5),IF('Mass Ion Calculations'!$D$7="Yes", ('Mass Ion Calculations'!$D$15+'AA Exact Masses'!$Q$2+'AA Exact Masses'!$Q$2-'Mass Ion Calculations'!$C$24-'Mass Ion Calculations'!$C7)/2-'Mass Ion Calculations'!$D$5,('Mass Ion Calculations'!$F$15+'AA Exact Masses'!$Q$2+'AA Exact Masses'!$Q$2-'Mass Ion Calculations'!$E$24-'Mass Ion Calculations'!$E7)/2-'Mass Ion Calculations'!$D$5)))</f>
        <v/>
      </c>
      <c r="W6" s="3" t="str">
        <f>IF(OR($B6="",W$3=""),"",IF('Mass Ion Calculations'!$D$6="Yes",IF('Mass Ion Calculations'!$D$7="Yes",('Mass Ion Calculations'!$D$18+'AA Exact Masses'!$Q$2+'AA Exact Masses'!$Q$2-'Mass Ion Calculations'!$C$25-'Mass Ion Calculations'!$C7)/2-'Mass Ion Calculations'!$D$5,('Mass Ion Calculations'!$F$18+'AA Exact Masses'!$Q$2+'AA Exact Masses'!$Q$2-'Mass Ion Calculations'!$E$25-'Mass Ion Calculations'!$E7)/2-'Mass Ion Calculations'!$D$5),IF('Mass Ion Calculations'!$D$7="Yes", ('Mass Ion Calculations'!$D$15+'AA Exact Masses'!$Q$2+'AA Exact Masses'!$Q$2-'Mass Ion Calculations'!$C$25-'Mass Ion Calculations'!$C7)/2-'Mass Ion Calculations'!$D$5,('Mass Ion Calculations'!$F$15+'AA Exact Masses'!$Q$2+'AA Exact Masses'!$Q$2-'Mass Ion Calculations'!$E$25-'Mass Ion Calculations'!$E7)/2-'Mass Ion Calculations'!$D$5)))</f>
        <v/>
      </c>
      <c r="X6" s="3" t="str">
        <f>IF(OR($B6="",X$3=""),"",IF('Mass Ion Calculations'!$D$6="Yes",IF('Mass Ion Calculations'!$D$7="Yes",('Mass Ion Calculations'!$D$18+'AA Exact Masses'!$Q$2+'AA Exact Masses'!$Q$2-'Mass Ion Calculations'!$C$26-'Mass Ion Calculations'!$C7)/2-'Mass Ion Calculations'!$D$5,('Mass Ion Calculations'!$F$18+'AA Exact Masses'!$Q$2+'AA Exact Masses'!$Q$2-'Mass Ion Calculations'!$E$26-'Mass Ion Calculations'!$E7)/2-'Mass Ion Calculations'!$D$5),IF('Mass Ion Calculations'!$D$7="Yes", ('Mass Ion Calculations'!$D$15+'AA Exact Masses'!$Q$2+'AA Exact Masses'!$Q$2-'Mass Ion Calculations'!$C$26-'Mass Ion Calculations'!$C7)/2-'Mass Ion Calculations'!$D$5,('Mass Ion Calculations'!$F$15+'AA Exact Masses'!$Q$2+'AA Exact Masses'!$Q$2-'Mass Ion Calculations'!$E$26-'Mass Ion Calculations'!$E7)/2-'Mass Ion Calculations'!$D$5)))</f>
        <v/>
      </c>
      <c r="Y6" s="3" t="str">
        <f>IF(OR($B6="",Y$3=""),"",IF('Mass Ion Calculations'!$D$6="Yes",IF('Mass Ion Calculations'!$D$7="Yes",('Mass Ion Calculations'!$D$18+'AA Exact Masses'!$Q$2+'AA Exact Masses'!$Q$2-'Mass Ion Calculations'!$C$27-'Mass Ion Calculations'!$C7)/2-'Mass Ion Calculations'!$D$5,('Mass Ion Calculations'!$F$18+'AA Exact Masses'!$Q$2+'AA Exact Masses'!$Q$2-'Mass Ion Calculations'!$E$27-'Mass Ion Calculations'!$E7)/2-'Mass Ion Calculations'!$D$5),IF('Mass Ion Calculations'!$D$7="Yes", ('Mass Ion Calculations'!$D$15+'AA Exact Masses'!$Q$2+'AA Exact Masses'!$Q$2-'Mass Ion Calculations'!$C$27-'Mass Ion Calculations'!$C7)/2-'Mass Ion Calculations'!$D$5,('Mass Ion Calculations'!$F$15+'AA Exact Masses'!$Q$2+'AA Exact Masses'!$Q$2-'Mass Ion Calculations'!$E$27-'Mass Ion Calculations'!$E7)/2-'Mass Ion Calculations'!$D$5)))</f>
        <v/>
      </c>
      <c r="Z6" s="3" t="str">
        <f>IF(OR($B6="",Z$3=""),"",IF('Mass Ion Calculations'!$D$6="Yes",IF('Mass Ion Calculations'!$D$7="Yes",('Mass Ion Calculations'!$D$18+'AA Exact Masses'!$Q$2+'AA Exact Masses'!$Q$2-'Mass Ion Calculations'!$C$28-'Mass Ion Calculations'!$C7)/2-'Mass Ion Calculations'!$D$5,('Mass Ion Calculations'!$F$18+'AA Exact Masses'!$Q$2+'AA Exact Masses'!$Q$2-'Mass Ion Calculations'!$E$28-'Mass Ion Calculations'!$E7)/2-'Mass Ion Calculations'!$D$5),IF('Mass Ion Calculations'!$D$7="Yes", ('Mass Ion Calculations'!$D$15+'AA Exact Masses'!$Q$2+'AA Exact Masses'!$Q$2-'Mass Ion Calculations'!$C$28-'Mass Ion Calculations'!$C7)/2-'Mass Ion Calculations'!$D$5,('Mass Ion Calculations'!$F$15+'AA Exact Masses'!$Q$2+'AA Exact Masses'!$Q$2-'Mass Ion Calculations'!$E$28-'Mass Ion Calculations'!$E7)/2-'Mass Ion Calculations'!$D$5)))</f>
        <v/>
      </c>
    </row>
    <row r="7" spans="2:26" x14ac:dyDescent="0.25">
      <c r="B7" s="4" t="str">
        <f>IF('Mass Ion Calculations'!B8="","", 'Mass Ion Calculations'!B8)</f>
        <v>Ile</v>
      </c>
      <c r="C7" s="3">
        <f>IF(OR($B7="",C$3=""),"",IF('Mass Ion Calculations'!$D$6="Yes",IF('Mass Ion Calculations'!$D$7="Yes",('Mass Ion Calculations'!$D$18+'AA Exact Masses'!$Q$2+'AA Exact Masses'!$Q$2-'Mass Ion Calculations'!$C$5-'Mass Ion Calculations'!$C8)/2-'Mass Ion Calculations'!$D$5,('Mass Ion Calculations'!$F$18+'AA Exact Masses'!$Q$2+'AA Exact Masses'!$Q$2-'Mass Ion Calculations'!$E$5-'Mass Ion Calculations'!$E8)/2-'Mass Ion Calculations'!$D$5),IF('Mass Ion Calculations'!$D$7="Yes", ('Mass Ion Calculations'!$D$15+'AA Exact Masses'!$Q$2+'AA Exact Masses'!$Q$2-'Mass Ion Calculations'!$C$5-'Mass Ion Calculations'!$C8)/2-'Mass Ion Calculations'!$D$5,('Mass Ion Calculations'!$F$15+'AA Exact Masses'!$Q$2+'AA Exact Masses'!$Q$2-'Mass Ion Calculations'!$E$5-'Mass Ion Calculations'!$E8)/2-'Mass Ion Calculations'!$D$5)))</f>
        <v>-424.61119499999995</v>
      </c>
      <c r="D7" s="3">
        <f>IF(OR($B7="",D$3=""),"",IF('Mass Ion Calculations'!$D$6="Yes",IF('Mass Ion Calculations'!$D$7="Yes",('Mass Ion Calculations'!$D$18+'AA Exact Masses'!$Q$2+'AA Exact Masses'!$Q$2-'Mass Ion Calculations'!$C$6-'Mass Ion Calculations'!$C8)/2-'Mass Ion Calculations'!$D$5,('Mass Ion Calculations'!$F$18+'AA Exact Masses'!$Q$2+'AA Exact Masses'!$Q$2-'Mass Ion Calculations'!$E$6-'Mass Ion Calculations'!$E8)/2-'Mass Ion Calculations'!$D$5),IF('Mass Ion Calculations'!$D$7="Yes", ('Mass Ion Calculations'!$D$15+'AA Exact Masses'!$Q$2+'AA Exact Masses'!$Q$2-'Mass Ion Calculations'!$C$6-'Mass Ion Calculations'!$C8)/2-'Mass Ion Calculations'!$D$5,('Mass Ion Calculations'!$F$15+'AA Exact Masses'!$Q$2+'AA Exact Masses'!$Q$2-'Mass Ion Calculations'!$E$6-'Mass Ion Calculations'!$E8)/2-'Mass Ion Calculations'!$D$5)))</f>
        <v>-403.09008999999992</v>
      </c>
      <c r="E7" s="3">
        <f>IF(OR($B7="",E$3=""),"",IF('Mass Ion Calculations'!$D$6="Yes",IF('Mass Ion Calculations'!$D$7="Yes",('Mass Ion Calculations'!$D$18+'AA Exact Masses'!$Q$2+'AA Exact Masses'!$Q$2-'Mass Ion Calculations'!$C$7-'Mass Ion Calculations'!$C8)/2-'Mass Ion Calculations'!$D$5,('Mass Ion Calculations'!$F$18+'AA Exact Masses'!$Q$2+'AA Exact Masses'!$Q$2-'Mass Ion Calculations'!$E$7-'Mass Ion Calculations'!$E8)/2-'Mass Ion Calculations'!$D$5),IF('Mass Ion Calculations'!$D$7="Yes", ('Mass Ion Calculations'!$D$15+'AA Exact Masses'!$Q$2+'AA Exact Masses'!$Q$2-'Mass Ion Calculations'!$C$7-'Mass Ion Calculations'!$C8)/2-'Mass Ion Calculations'!$D$5,('Mass Ion Calculations'!$F$15+'AA Exact Masses'!$Q$2+'AA Exact Masses'!$Q$2-'Mass Ion Calculations'!$E$7-'Mass Ion Calculations'!$E8)/2-'Mass Ion Calculations'!$D$5)))</f>
        <v>-424.11356499999988</v>
      </c>
      <c r="F7" s="3">
        <f>IF(OR($B7="",F$3=""),"",IF('Mass Ion Calculations'!$D$6="Yes",IF('Mass Ion Calculations'!$D$7="Yes",('Mass Ion Calculations'!$D$18+'AA Exact Masses'!$Q$2+'AA Exact Masses'!$Q$2-'Mass Ion Calculations'!$C$8-'Mass Ion Calculations'!$C8)/2-'Mass Ion Calculations'!$D$5,('Mass Ion Calculations'!$F$18+'AA Exact Masses'!$Q$2+'AA Exact Masses'!$Q$2-'Mass Ion Calculations'!$E$8-'Mass Ion Calculations'!$E8)/2-'Mass Ion Calculations'!$D$5),IF('Mass Ion Calculations'!$D$7="Yes", ('Mass Ion Calculations'!$D$15+'AA Exact Masses'!$Q$2+'AA Exact Masses'!$Q$2-'Mass Ion Calculations'!$C$8-'Mass Ion Calculations'!$C8)/2-'Mass Ion Calculations'!$D$5,('Mass Ion Calculations'!$F$15+'AA Exact Masses'!$Q$2+'AA Exact Masses'!$Q$2-'Mass Ion Calculations'!$E$8-'Mass Ion Calculations'!$E8)/2-'Mass Ion Calculations'!$D$5)))</f>
        <v>-424.11356499999988</v>
      </c>
      <c r="G7" s="3">
        <f>IF(OR($B7="",G$3=""),"",IF('Mass Ion Calculations'!$D$6="Yes",IF('Mass Ion Calculations'!$D$7="Yes",('Mass Ion Calculations'!$D$18+'AA Exact Masses'!$Q$2+'AA Exact Masses'!$Q$2-'Mass Ion Calculations'!$C$9-'Mass Ion Calculations'!$C8)/2-'Mass Ion Calculations'!$D$5,('Mass Ion Calculations'!$F$18+'AA Exact Masses'!$Q$2+'AA Exact Masses'!$Q$2-'Mass Ion Calculations'!$E$9-'Mass Ion Calculations'!$E8)/2-'Mass Ion Calculations'!$D$5),IF('Mass Ion Calculations'!$D$7="Yes", ('Mass Ion Calculations'!$D$15+'AA Exact Masses'!$Q$2+'AA Exact Masses'!$Q$2-'Mass Ion Calculations'!$C$9-'Mass Ion Calculations'!$C8)/2-'Mass Ion Calculations'!$D$5,('Mass Ion Calculations'!$F$15+'AA Exact Masses'!$Q$2+'AA Exact Masses'!$Q$2-'Mass Ion Calculations'!$E$9-'Mass Ion Calculations'!$E8)/2-'Mass Ion Calculations'!$D$5)))</f>
        <v>-403.09008999999992</v>
      </c>
      <c r="H7" s="3">
        <f>IF(OR($B7="",H$3=""),"",IF('Mass Ion Calculations'!$D$6="Yes",IF('Mass Ion Calculations'!$D$7="Yes",('Mass Ion Calculations'!$D$18+'AA Exact Masses'!$Q$2+'AA Exact Masses'!$Q$2-'Mass Ion Calculations'!$C$10-'Mass Ion Calculations'!$C8)/2-'Mass Ion Calculations'!$D$5,('Mass Ion Calculations'!$F$18+'AA Exact Masses'!$Q$2+'AA Exact Masses'!$Q$2-'Mass Ion Calculations'!$E$10-'Mass Ion Calculations'!$E8)/2-'Mass Ion Calculations'!$D$5),IF('Mass Ion Calculations'!$D$7="Yes", ('Mass Ion Calculations'!$D$15+'AA Exact Masses'!$Q$2+'AA Exact Masses'!$Q$2-'Mass Ion Calculations'!$C$10-'Mass Ion Calculations'!$C8)/2-'Mass Ion Calculations'!$D$5,('Mass Ion Calculations'!$F$15+'AA Exact Masses'!$Q$2+'AA Exact Masses'!$Q$2-'Mass Ion Calculations'!$E$10-'Mass Ion Calculations'!$E8)/2-'Mass Ion Calculations'!$D$5)))</f>
        <v>-424.11356499999988</v>
      </c>
      <c r="I7" s="3">
        <f>IF(OR($B7="",I$3=""),"",IF('Mass Ion Calculations'!$D$6="Yes",IF('Mass Ion Calculations'!$D$7="Yes",('Mass Ion Calculations'!$D$18+'AA Exact Masses'!$Q$2+'AA Exact Masses'!$Q$2-'Mass Ion Calculations'!$C$11-'Mass Ion Calculations'!$C8)/2-'Mass Ion Calculations'!$D$5,('Mass Ion Calculations'!$F$18+'AA Exact Masses'!$Q$2+'AA Exact Masses'!$Q$2-'Mass Ion Calculations'!$E$11-'Mass Ion Calculations'!$E8)/2-'Mass Ion Calculations'!$D$5),IF('Mass Ion Calculations'!$D$7="Yes", ('Mass Ion Calculations'!$D$15+'AA Exact Masses'!$Q$2+'AA Exact Masses'!$Q$2-'Mass Ion Calculations'!$C$11-'Mass Ion Calculations'!$C8)/2-'Mass Ion Calculations'!$D$5,('Mass Ion Calculations'!$F$15+'AA Exact Masses'!$Q$2+'AA Exact Masses'!$Q$2-'Mass Ion Calculations'!$E$11-'Mass Ion Calculations'!$E8)/2-'Mass Ion Calculations'!$D$5)))</f>
        <v>-424.61119499999995</v>
      </c>
      <c r="J7" s="3">
        <f>IF(OR($B7="",J$3=""),"",IF('Mass Ion Calculations'!$D$6="Yes",IF('Mass Ion Calculations'!$D$7="Yes",('Mass Ion Calculations'!$D$18+'AA Exact Masses'!$Q$2+'AA Exact Masses'!$Q$2-'Mass Ion Calculations'!$C$12-'Mass Ion Calculations'!$C8)/2-'Mass Ion Calculations'!$D$5,('Mass Ion Calculations'!$F$18+'AA Exact Masses'!$Q$2+'AA Exact Masses'!$Q$2-'Mass Ion Calculations'!$E$12-'Mass Ion Calculations'!$E8)/2-'Mass Ion Calculations'!$D$5),IF('Mass Ion Calculations'!$D$7="Yes", ('Mass Ion Calculations'!$D$15+'AA Exact Masses'!$Q$2+'AA Exact Masses'!$Q$2-'Mass Ion Calculations'!$C$12-'Mass Ion Calculations'!$C8)/2-'Mass Ion Calculations'!$D$5,('Mass Ion Calculations'!$F$15+'AA Exact Masses'!$Q$2+'AA Exact Masses'!$Q$2-'Mass Ion Calculations'!$E$12-'Mass Ion Calculations'!$E8)/2-'Mass Ion Calculations'!$D$5)))</f>
        <v>-417.10573999999997</v>
      </c>
      <c r="K7" s="3">
        <f>IF(OR($B7="",K$3=""),"",IF('Mass Ion Calculations'!$D$6="Yes",IF('Mass Ion Calculations'!$D$7="Yes",('Mass Ion Calculations'!$D$18+'AA Exact Masses'!$Q$2+'AA Exact Masses'!$Q$2-'Mass Ion Calculations'!$C$13-'Mass Ion Calculations'!$C8)/2-'Mass Ion Calculations'!$D$5,('Mass Ion Calculations'!$F$18+'AA Exact Masses'!$Q$2+'AA Exact Masses'!$Q$2-'Mass Ion Calculations'!$E$13-'Mass Ion Calculations'!$E8)/2-'Mass Ion Calculations'!$D$5),IF('Mass Ion Calculations'!$D$7="Yes", ('Mass Ion Calculations'!$D$15+'AA Exact Masses'!$Q$2+'AA Exact Masses'!$Q$2-'Mass Ion Calculations'!$C$13-'Mass Ion Calculations'!$C8)/2-'Mass Ion Calculations'!$D$5,('Mass Ion Calculations'!$F$15+'AA Exact Masses'!$Q$2+'AA Exact Masses'!$Q$2-'Mass Ion Calculations'!$E$13-'Mass Ion Calculations'!$E8)/2-'Mass Ion Calculations'!$D$5)))</f>
        <v>-424.61119499999995</v>
      </c>
      <c r="L7" s="3">
        <f>IF(OR($B7="",L$3=""),"",IF('Mass Ion Calculations'!$D$6="Yes",IF('Mass Ion Calculations'!$D$7="Yes",('Mass Ion Calculations'!$D$18+'AA Exact Masses'!$Q$2+'AA Exact Masses'!$Q$2-'Mass Ion Calculations'!$C$14-'Mass Ion Calculations'!$C8)/2-'Mass Ion Calculations'!$D$5,('Mass Ion Calculations'!$F$18+'AA Exact Masses'!$Q$2+'AA Exact Masses'!$Q$2-'Mass Ion Calculations'!$E$14-'Mass Ion Calculations'!$E8)/2-'Mass Ion Calculations'!$D$5),IF('Mass Ion Calculations'!$D$7="Yes", ('Mass Ion Calculations'!$D$15+'AA Exact Masses'!$Q$2+'AA Exact Masses'!$Q$2-'Mass Ion Calculations'!$C$14-'Mass Ion Calculations'!$C8)/2-'Mass Ion Calculations'!$D$5,('Mass Ion Calculations'!$F$15+'AA Exact Masses'!$Q$2+'AA Exact Masses'!$Q$2-'Mass Ion Calculations'!$E$14-'Mass Ion Calculations'!$E8)/2-'Mass Ion Calculations'!$D$5)))</f>
        <v>-432.09282999999994</v>
      </c>
      <c r="M7" s="3">
        <f>IF(OR($B7="",M$3=""),"",IF('Mass Ion Calculations'!$D$6="Yes",IF('Mass Ion Calculations'!$D$7="Yes",('Mass Ion Calculations'!$D$18+'AA Exact Masses'!$Q$2+'AA Exact Masses'!$Q$2-'Mass Ion Calculations'!$C$15-'Mass Ion Calculations'!$C8)/2-'Mass Ion Calculations'!$D$5,('Mass Ion Calculations'!$F$18+'AA Exact Masses'!$Q$2+'AA Exact Masses'!$Q$2-'Mass Ion Calculations'!$E$15-'Mass Ion Calculations'!$E8)/2-'Mass Ion Calculations'!$D$5),IF('Mass Ion Calculations'!$D$7="Yes", ('Mass Ion Calculations'!$D$15+'AA Exact Masses'!$Q$2+'AA Exact Masses'!$Q$2-'Mass Ion Calculations'!$C$15-'Mass Ion Calculations'!$C8)/2-'Mass Ion Calculations'!$D$5,('Mass Ion Calculations'!$F$15+'AA Exact Masses'!$Q$2+'AA Exact Masses'!$Q$2-'Mass Ion Calculations'!$E$15-'Mass Ion Calculations'!$E8)/2-'Mass Ion Calculations'!$D$5)))</f>
        <v>-425.08500499999991</v>
      </c>
      <c r="N7" s="3">
        <f>IF(OR($B7="",N$3=""),"",IF('Mass Ion Calculations'!$D$6="Yes",IF('Mass Ion Calculations'!$D$7="Yes",('Mass Ion Calculations'!$D$18+'AA Exact Masses'!$Q$2+'AA Exact Masses'!$Q$2-'Mass Ion Calculations'!$C$16-'Mass Ion Calculations'!$C8)/2-'Mass Ion Calculations'!$D$5,('Mass Ion Calculations'!$F$18+'AA Exact Masses'!$Q$2+'AA Exact Masses'!$Q$2-'Mass Ion Calculations'!$E$16-'Mass Ion Calculations'!$E8)/2-'Mass Ion Calculations'!$D$5),IF('Mass Ion Calculations'!$D$7="Yes", ('Mass Ion Calculations'!$D$15+'AA Exact Masses'!$Q$2+'AA Exact Masses'!$Q$2-'Mass Ion Calculations'!$C$16-'Mass Ion Calculations'!$C8)/2-'Mass Ion Calculations'!$D$5,('Mass Ion Calculations'!$F$15+'AA Exact Masses'!$Q$2+'AA Exact Masses'!$Q$2-'Mass Ion Calculations'!$E$16-'Mass Ion Calculations'!$E8)/2-'Mass Ion Calculations'!$D$5)))</f>
        <v>-403.09008999999992</v>
      </c>
      <c r="O7" s="3">
        <f>IF(OR($B7="",O$3=""),"",IF('Mass Ion Calculations'!$D$6="Yes",IF('Mass Ion Calculations'!$D$7="Yes",('Mass Ion Calculations'!$D$18+'AA Exact Masses'!$Q$2+'AA Exact Masses'!$Q$2-'Mass Ion Calculations'!$C$17-'Mass Ion Calculations'!$C8)/2-'Mass Ion Calculations'!$D$5,('Mass Ion Calculations'!$F$18+'AA Exact Masses'!$Q$2+'AA Exact Masses'!$Q$2-'Mass Ion Calculations'!$E$17-'Mass Ion Calculations'!$E8)/2-'Mass Ion Calculations'!$D$5),IF('Mass Ion Calculations'!$D$7="Yes", ('Mass Ion Calculations'!$D$15+'AA Exact Masses'!$Q$2+'AA Exact Masses'!$Q$2-'Mass Ion Calculations'!$C$17-'Mass Ion Calculations'!$C8)/2-'Mass Ion Calculations'!$D$5,('Mass Ion Calculations'!$F$15+'AA Exact Masses'!$Q$2+'AA Exact Masses'!$Q$2-'Mass Ion Calculations'!$E$17-'Mass Ion Calculations'!$E8)/2-'Mass Ion Calculations'!$D$5)))</f>
        <v>-441.10573999999997</v>
      </c>
      <c r="P7" s="3">
        <f>IF(OR($B7="",P$3=""),"",IF('Mass Ion Calculations'!$D$6="Yes",IF('Mass Ion Calculations'!$D$7="Yes",('Mass Ion Calculations'!$D$18+'AA Exact Masses'!$Q$2+'AA Exact Masses'!$Q$2-'Mass Ion Calculations'!$C$18-'Mass Ion Calculations'!$C8)/2-'Mass Ion Calculations'!$D$5,('Mass Ion Calculations'!$F$18+'AA Exact Masses'!$Q$2+'AA Exact Masses'!$Q$2-'Mass Ion Calculations'!$E$18-'Mass Ion Calculations'!$E8)/2-'Mass Ion Calculations'!$D$5),IF('Mass Ion Calculations'!$D$7="Yes", ('Mass Ion Calculations'!$D$15+'AA Exact Masses'!$Q$2+'AA Exact Masses'!$Q$2-'Mass Ion Calculations'!$C$18-'Mass Ion Calculations'!$C8)/2-'Mass Ion Calculations'!$D$5,('Mass Ion Calculations'!$F$15+'AA Exact Masses'!$Q$2+'AA Exact Masses'!$Q$2-'Mass Ion Calculations'!$E$18-'Mass Ion Calculations'!$E8)/2-'Mass Ion Calculations'!$D$5)))</f>
        <v>-504.05406499999992</v>
      </c>
      <c r="Q7" s="3">
        <f>IF(OR($B7="",Q$3=""),"",IF('Mass Ion Calculations'!$D$6="Yes",IF('Mass Ion Calculations'!$D$7="Yes",('Mass Ion Calculations'!$D$18+'AA Exact Masses'!$Q$2+'AA Exact Masses'!$Q$2-'Mass Ion Calculations'!$C$19-'Mass Ion Calculations'!$C8)/2-'Mass Ion Calculations'!$D$5,('Mass Ion Calculations'!$F$18+'AA Exact Masses'!$Q$2+'AA Exact Masses'!$Q$2-'Mass Ion Calculations'!$E$19-'Mass Ion Calculations'!$E8)/2-'Mass Ion Calculations'!$D$5),IF('Mass Ion Calculations'!$D$7="Yes", ('Mass Ion Calculations'!$D$15+'AA Exact Masses'!$Q$2+'AA Exact Masses'!$Q$2-'Mass Ion Calculations'!$C$19-'Mass Ion Calculations'!$C8)/2-'Mass Ion Calculations'!$D$5,('Mass Ion Calculations'!$F$15+'AA Exact Masses'!$Q$2+'AA Exact Masses'!$Q$2-'Mass Ion Calculations'!$E$19-'Mass Ion Calculations'!$E8)/2-'Mass Ion Calculations'!$D$5)))</f>
        <v>-417.10573999999997</v>
      </c>
      <c r="R7" s="3">
        <f>IF(OR($B7="",R$3=""),"",IF('Mass Ion Calculations'!$D$6="Yes",IF('Mass Ion Calculations'!$D$7="Yes",('Mass Ion Calculations'!$D$18+'AA Exact Masses'!$Q$2+'AA Exact Masses'!$Q$2-'Mass Ion Calculations'!$C$20-'Mass Ion Calculations'!$C8)/2-'Mass Ion Calculations'!$D$5,('Mass Ion Calculations'!$F$18+'AA Exact Masses'!$Q$2+'AA Exact Masses'!$Q$2-'Mass Ion Calculations'!$E$20-'Mass Ion Calculations'!$E8)/2-'Mass Ion Calculations'!$D$5),IF('Mass Ion Calculations'!$D$7="Yes", ('Mass Ion Calculations'!$D$15+'AA Exact Masses'!$Q$2+'AA Exact Masses'!$Q$2-'Mass Ion Calculations'!$C$20-'Mass Ion Calculations'!$C8)/2-'Mass Ion Calculations'!$D$5,('Mass Ion Calculations'!$F$15+'AA Exact Masses'!$Q$2+'AA Exact Masses'!$Q$2-'Mass Ion Calculations'!$E$20-'Mass Ion Calculations'!$E8)/2-'Mass Ion Calculations'!$D$5)))</f>
        <v>-424.11356499999988</v>
      </c>
      <c r="S7" s="3" t="str">
        <f>IF(OR($B7="",S$3=""),"",IF('Mass Ion Calculations'!$D$6="Yes",IF('Mass Ion Calculations'!$D$7="Yes",('Mass Ion Calculations'!$D$18+'AA Exact Masses'!$Q$2+'AA Exact Masses'!$Q$2-'Mass Ion Calculations'!$C$21-'Mass Ion Calculations'!$C8)/2-'Mass Ion Calculations'!$D$5,('Mass Ion Calculations'!$F$18+'AA Exact Masses'!$Q$2+'AA Exact Masses'!$Q$2-'Mass Ion Calculations'!$E$21-'Mass Ion Calculations'!$E8)/2-'Mass Ion Calculations'!$D$5),IF('Mass Ion Calculations'!$D$7="Yes", ('Mass Ion Calculations'!$D$15+'AA Exact Masses'!$Q$2+'AA Exact Masses'!$Q$2-'Mass Ion Calculations'!$C$21-'Mass Ion Calculations'!$C8)/2-'Mass Ion Calculations'!$D$5,('Mass Ion Calculations'!$F$15+'AA Exact Masses'!$Q$2+'AA Exact Masses'!$Q$2-'Mass Ion Calculations'!$E$21-'Mass Ion Calculations'!$E8)/2-'Mass Ion Calculations'!$D$5)))</f>
        <v/>
      </c>
      <c r="T7" s="3" t="e">
        <f>IF(OR($B7="",T$3=""),"",IF('Mass Ion Calculations'!$D$6="Yes",IF('Mass Ion Calculations'!$D$7="Yes",('Mass Ion Calculations'!$D$18+'AA Exact Masses'!$Q$2+'AA Exact Masses'!$Q$2-'Mass Ion Calculations'!$C$22-'Mass Ion Calculations'!$C8)/2-'Mass Ion Calculations'!$D$5,('Mass Ion Calculations'!$F$18+'AA Exact Masses'!$Q$2+'AA Exact Masses'!$Q$2-'Mass Ion Calculations'!$E$22-'Mass Ion Calculations'!$E8)/2-'Mass Ion Calculations'!$D$5),IF('Mass Ion Calculations'!$D$7="Yes", ('Mass Ion Calculations'!$D$15+'AA Exact Masses'!$Q$2+'AA Exact Masses'!$Q$2-'Mass Ion Calculations'!$C$22-'Mass Ion Calculations'!$C8)/2-'Mass Ion Calculations'!$D$5,('Mass Ion Calculations'!$F$15+'AA Exact Masses'!$Q$2+'AA Exact Masses'!$Q$2-'Mass Ion Calculations'!$E$22-'Mass Ion Calculations'!$E8)/2-'Mass Ion Calculations'!$D$5)))</f>
        <v>#VALUE!</v>
      </c>
      <c r="U7" s="3" t="e">
        <f>IF(OR($B7="",U$3=""),"",IF('Mass Ion Calculations'!$D$6="Yes",IF('Mass Ion Calculations'!$D$7="Yes",('Mass Ion Calculations'!$D$18+'AA Exact Masses'!$Q$2+'AA Exact Masses'!$Q$2-'Mass Ion Calculations'!$C$23-'Mass Ion Calculations'!$C8)/2-'Mass Ion Calculations'!$D$5,('Mass Ion Calculations'!$F$18+'AA Exact Masses'!$Q$2+'AA Exact Masses'!$Q$2-'Mass Ion Calculations'!$E$23-'Mass Ion Calculations'!$E8)/2-'Mass Ion Calculations'!$D$5),IF('Mass Ion Calculations'!$D$7="Yes", ('Mass Ion Calculations'!$D$15+'AA Exact Masses'!$Q$2+'AA Exact Masses'!$Q$2-'Mass Ion Calculations'!$C$23-'Mass Ion Calculations'!$C8)/2-'Mass Ion Calculations'!$D$5,('Mass Ion Calculations'!$F$15+'AA Exact Masses'!$Q$2+'AA Exact Masses'!$Q$2-'Mass Ion Calculations'!$E$23-'Mass Ion Calculations'!$E8)/2-'Mass Ion Calculations'!$D$5)))</f>
        <v>#VALUE!</v>
      </c>
      <c r="V7" s="3" t="str">
        <f>IF(OR($B7="",V$3=""),"",IF('Mass Ion Calculations'!$D$6="Yes",IF('Mass Ion Calculations'!$D$7="Yes",('Mass Ion Calculations'!$D$18+'AA Exact Masses'!$Q$2+'AA Exact Masses'!$Q$2-'Mass Ion Calculations'!$C$24-'Mass Ion Calculations'!$C8)/2-'Mass Ion Calculations'!$D$5,('Mass Ion Calculations'!$F$18+'AA Exact Masses'!$Q$2+'AA Exact Masses'!$Q$2-'Mass Ion Calculations'!$E$24-'Mass Ion Calculations'!$E8)/2-'Mass Ion Calculations'!$D$5),IF('Mass Ion Calculations'!$D$7="Yes", ('Mass Ion Calculations'!$D$15+'AA Exact Masses'!$Q$2+'AA Exact Masses'!$Q$2-'Mass Ion Calculations'!$C$24-'Mass Ion Calculations'!$C8)/2-'Mass Ion Calculations'!$D$5,('Mass Ion Calculations'!$F$15+'AA Exact Masses'!$Q$2+'AA Exact Masses'!$Q$2-'Mass Ion Calculations'!$E$24-'Mass Ion Calculations'!$E8)/2-'Mass Ion Calculations'!$D$5)))</f>
        <v/>
      </c>
      <c r="W7" s="3" t="str">
        <f>IF(OR($B7="",W$3=""),"",IF('Mass Ion Calculations'!$D$6="Yes",IF('Mass Ion Calculations'!$D$7="Yes",('Mass Ion Calculations'!$D$18+'AA Exact Masses'!$Q$2+'AA Exact Masses'!$Q$2-'Mass Ion Calculations'!$C$25-'Mass Ion Calculations'!$C8)/2-'Mass Ion Calculations'!$D$5,('Mass Ion Calculations'!$F$18+'AA Exact Masses'!$Q$2+'AA Exact Masses'!$Q$2-'Mass Ion Calculations'!$E$25-'Mass Ion Calculations'!$E8)/2-'Mass Ion Calculations'!$D$5),IF('Mass Ion Calculations'!$D$7="Yes", ('Mass Ion Calculations'!$D$15+'AA Exact Masses'!$Q$2+'AA Exact Masses'!$Q$2-'Mass Ion Calculations'!$C$25-'Mass Ion Calculations'!$C8)/2-'Mass Ion Calculations'!$D$5,('Mass Ion Calculations'!$F$15+'AA Exact Masses'!$Q$2+'AA Exact Masses'!$Q$2-'Mass Ion Calculations'!$E$25-'Mass Ion Calculations'!$E8)/2-'Mass Ion Calculations'!$D$5)))</f>
        <v/>
      </c>
      <c r="X7" s="3" t="str">
        <f>IF(OR($B7="",X$3=""),"",IF('Mass Ion Calculations'!$D$6="Yes",IF('Mass Ion Calculations'!$D$7="Yes",('Mass Ion Calculations'!$D$18+'AA Exact Masses'!$Q$2+'AA Exact Masses'!$Q$2-'Mass Ion Calculations'!$C$26-'Mass Ion Calculations'!$C8)/2-'Mass Ion Calculations'!$D$5,('Mass Ion Calculations'!$F$18+'AA Exact Masses'!$Q$2+'AA Exact Masses'!$Q$2-'Mass Ion Calculations'!$E$26-'Mass Ion Calculations'!$E8)/2-'Mass Ion Calculations'!$D$5),IF('Mass Ion Calculations'!$D$7="Yes", ('Mass Ion Calculations'!$D$15+'AA Exact Masses'!$Q$2+'AA Exact Masses'!$Q$2-'Mass Ion Calculations'!$C$26-'Mass Ion Calculations'!$C8)/2-'Mass Ion Calculations'!$D$5,('Mass Ion Calculations'!$F$15+'AA Exact Masses'!$Q$2+'AA Exact Masses'!$Q$2-'Mass Ion Calculations'!$E$26-'Mass Ion Calculations'!$E8)/2-'Mass Ion Calculations'!$D$5)))</f>
        <v/>
      </c>
      <c r="Y7" s="3" t="str">
        <f>IF(OR($B7="",Y$3=""),"",IF('Mass Ion Calculations'!$D$6="Yes",IF('Mass Ion Calculations'!$D$7="Yes",('Mass Ion Calculations'!$D$18+'AA Exact Masses'!$Q$2+'AA Exact Masses'!$Q$2-'Mass Ion Calculations'!$C$27-'Mass Ion Calculations'!$C8)/2-'Mass Ion Calculations'!$D$5,('Mass Ion Calculations'!$F$18+'AA Exact Masses'!$Q$2+'AA Exact Masses'!$Q$2-'Mass Ion Calculations'!$E$27-'Mass Ion Calculations'!$E8)/2-'Mass Ion Calculations'!$D$5),IF('Mass Ion Calculations'!$D$7="Yes", ('Mass Ion Calculations'!$D$15+'AA Exact Masses'!$Q$2+'AA Exact Masses'!$Q$2-'Mass Ion Calculations'!$C$27-'Mass Ion Calculations'!$C8)/2-'Mass Ion Calculations'!$D$5,('Mass Ion Calculations'!$F$15+'AA Exact Masses'!$Q$2+'AA Exact Masses'!$Q$2-'Mass Ion Calculations'!$E$27-'Mass Ion Calculations'!$E8)/2-'Mass Ion Calculations'!$D$5)))</f>
        <v/>
      </c>
      <c r="Z7" s="3" t="str">
        <f>IF(OR($B7="",Z$3=""),"",IF('Mass Ion Calculations'!$D$6="Yes",IF('Mass Ion Calculations'!$D$7="Yes",('Mass Ion Calculations'!$D$18+'AA Exact Masses'!$Q$2+'AA Exact Masses'!$Q$2-'Mass Ion Calculations'!$C$28-'Mass Ion Calculations'!$C8)/2-'Mass Ion Calculations'!$D$5,('Mass Ion Calculations'!$F$18+'AA Exact Masses'!$Q$2+'AA Exact Masses'!$Q$2-'Mass Ion Calculations'!$E$28-'Mass Ion Calculations'!$E8)/2-'Mass Ion Calculations'!$D$5),IF('Mass Ion Calculations'!$D$7="Yes", ('Mass Ion Calculations'!$D$15+'AA Exact Masses'!$Q$2+'AA Exact Masses'!$Q$2-'Mass Ion Calculations'!$C$28-'Mass Ion Calculations'!$C8)/2-'Mass Ion Calculations'!$D$5,('Mass Ion Calculations'!$F$15+'AA Exact Masses'!$Q$2+'AA Exact Masses'!$Q$2-'Mass Ion Calculations'!$E$28-'Mass Ion Calculations'!$E8)/2-'Mass Ion Calculations'!$D$5)))</f>
        <v/>
      </c>
    </row>
    <row r="8" spans="2:26" x14ac:dyDescent="0.25">
      <c r="B8" s="4" t="str">
        <f>IF('Mass Ion Calculations'!B9="","", 'Mass Ion Calculations'!B9)</f>
        <v>N-Meth-Gly</v>
      </c>
      <c r="C8" s="3">
        <f>IF(OR($B8="",C$3=""),"",IF('Mass Ion Calculations'!$D$6="Yes",IF('Mass Ion Calculations'!$D$7="Yes",('Mass Ion Calculations'!$D$18+'AA Exact Masses'!$Q$2+'AA Exact Masses'!$Q$2-'Mass Ion Calculations'!$C$5-'Mass Ion Calculations'!$C9)/2-'Mass Ion Calculations'!$D$5,('Mass Ion Calculations'!$F$18+'AA Exact Masses'!$Q$2+'AA Exact Masses'!$Q$2-'Mass Ion Calculations'!$E$5-'Mass Ion Calculations'!$E9)/2-'Mass Ion Calculations'!$D$5),IF('Mass Ion Calculations'!$D$7="Yes", ('Mass Ion Calculations'!$D$15+'AA Exact Masses'!$Q$2+'AA Exact Masses'!$Q$2-'Mass Ion Calculations'!$C$5-'Mass Ion Calculations'!$C9)/2-'Mass Ion Calculations'!$D$5,('Mass Ion Calculations'!$F$15+'AA Exact Masses'!$Q$2+'AA Exact Masses'!$Q$2-'Mass Ion Calculations'!$E$5-'Mass Ion Calculations'!$E9)/2-'Mass Ion Calculations'!$D$5)))</f>
        <v>-403.58771999999999</v>
      </c>
      <c r="D8" s="3">
        <f>IF(OR($B8="",D$3=""),"",IF('Mass Ion Calculations'!$D$6="Yes",IF('Mass Ion Calculations'!$D$7="Yes",('Mass Ion Calculations'!$D$18+'AA Exact Masses'!$Q$2+'AA Exact Masses'!$Q$2-'Mass Ion Calculations'!$C$6-'Mass Ion Calculations'!$C9)/2-'Mass Ion Calculations'!$D$5,('Mass Ion Calculations'!$F$18+'AA Exact Masses'!$Q$2+'AA Exact Masses'!$Q$2-'Mass Ion Calculations'!$E$6-'Mass Ion Calculations'!$E9)/2-'Mass Ion Calculations'!$D$5),IF('Mass Ion Calculations'!$D$7="Yes", ('Mass Ion Calculations'!$D$15+'AA Exact Masses'!$Q$2+'AA Exact Masses'!$Q$2-'Mass Ion Calculations'!$C$6-'Mass Ion Calculations'!$C9)/2-'Mass Ion Calculations'!$D$5,('Mass Ion Calculations'!$F$15+'AA Exact Masses'!$Q$2+'AA Exact Masses'!$Q$2-'Mass Ion Calculations'!$E$6-'Mass Ion Calculations'!$E9)/2-'Mass Ion Calculations'!$D$5)))</f>
        <v>-382.06661499999996</v>
      </c>
      <c r="E8" s="3">
        <f>IF(OR($B8="",E$3=""),"",IF('Mass Ion Calculations'!$D$6="Yes",IF('Mass Ion Calculations'!$D$7="Yes",('Mass Ion Calculations'!$D$18+'AA Exact Masses'!$Q$2+'AA Exact Masses'!$Q$2-'Mass Ion Calculations'!$C$7-'Mass Ion Calculations'!$C9)/2-'Mass Ion Calculations'!$D$5,('Mass Ion Calculations'!$F$18+'AA Exact Masses'!$Q$2+'AA Exact Masses'!$Q$2-'Mass Ion Calculations'!$E$7-'Mass Ion Calculations'!$E9)/2-'Mass Ion Calculations'!$D$5),IF('Mass Ion Calculations'!$D$7="Yes", ('Mass Ion Calculations'!$D$15+'AA Exact Masses'!$Q$2+'AA Exact Masses'!$Q$2-'Mass Ion Calculations'!$C$7-'Mass Ion Calculations'!$C9)/2-'Mass Ion Calculations'!$D$5,('Mass Ion Calculations'!$F$15+'AA Exact Masses'!$Q$2+'AA Exact Masses'!$Q$2-'Mass Ion Calculations'!$E$7-'Mass Ion Calculations'!$E9)/2-'Mass Ion Calculations'!$D$5)))</f>
        <v>-403.09008999999992</v>
      </c>
      <c r="F8" s="3">
        <f>IF(OR($B8="",F$3=""),"",IF('Mass Ion Calculations'!$D$6="Yes",IF('Mass Ion Calculations'!$D$7="Yes",('Mass Ion Calculations'!$D$18+'AA Exact Masses'!$Q$2+'AA Exact Masses'!$Q$2-'Mass Ion Calculations'!$C$8-'Mass Ion Calculations'!$C9)/2-'Mass Ion Calculations'!$D$5,('Mass Ion Calculations'!$F$18+'AA Exact Masses'!$Q$2+'AA Exact Masses'!$Q$2-'Mass Ion Calculations'!$E$8-'Mass Ion Calculations'!$E9)/2-'Mass Ion Calculations'!$D$5),IF('Mass Ion Calculations'!$D$7="Yes", ('Mass Ion Calculations'!$D$15+'AA Exact Masses'!$Q$2+'AA Exact Masses'!$Q$2-'Mass Ion Calculations'!$C$8-'Mass Ion Calculations'!$C9)/2-'Mass Ion Calculations'!$D$5,('Mass Ion Calculations'!$F$15+'AA Exact Masses'!$Q$2+'AA Exact Masses'!$Q$2-'Mass Ion Calculations'!$E$8-'Mass Ion Calculations'!$E9)/2-'Mass Ion Calculations'!$D$5)))</f>
        <v>-403.09008999999992</v>
      </c>
      <c r="G8" s="3">
        <f>IF(OR($B8="",G$3=""),"",IF('Mass Ion Calculations'!$D$6="Yes",IF('Mass Ion Calculations'!$D$7="Yes",('Mass Ion Calculations'!$D$18+'AA Exact Masses'!$Q$2+'AA Exact Masses'!$Q$2-'Mass Ion Calculations'!$C$9-'Mass Ion Calculations'!$C9)/2-'Mass Ion Calculations'!$D$5,('Mass Ion Calculations'!$F$18+'AA Exact Masses'!$Q$2+'AA Exact Masses'!$Q$2-'Mass Ion Calculations'!$E$9-'Mass Ion Calculations'!$E9)/2-'Mass Ion Calculations'!$D$5),IF('Mass Ion Calculations'!$D$7="Yes", ('Mass Ion Calculations'!$D$15+'AA Exact Masses'!$Q$2+'AA Exact Masses'!$Q$2-'Mass Ion Calculations'!$C$9-'Mass Ion Calculations'!$C9)/2-'Mass Ion Calculations'!$D$5,('Mass Ion Calculations'!$F$15+'AA Exact Masses'!$Q$2+'AA Exact Masses'!$Q$2-'Mass Ion Calculations'!$E$9-'Mass Ion Calculations'!$E9)/2-'Mass Ion Calculations'!$D$5)))</f>
        <v>-382.06661499999996</v>
      </c>
      <c r="H8" s="3">
        <f>IF(OR($B8="",H$3=""),"",IF('Mass Ion Calculations'!$D$6="Yes",IF('Mass Ion Calculations'!$D$7="Yes",('Mass Ion Calculations'!$D$18+'AA Exact Masses'!$Q$2+'AA Exact Masses'!$Q$2-'Mass Ion Calculations'!$C$10-'Mass Ion Calculations'!$C9)/2-'Mass Ion Calculations'!$D$5,('Mass Ion Calculations'!$F$18+'AA Exact Masses'!$Q$2+'AA Exact Masses'!$Q$2-'Mass Ion Calculations'!$E$10-'Mass Ion Calculations'!$E9)/2-'Mass Ion Calculations'!$D$5),IF('Mass Ion Calculations'!$D$7="Yes", ('Mass Ion Calculations'!$D$15+'AA Exact Masses'!$Q$2+'AA Exact Masses'!$Q$2-'Mass Ion Calculations'!$C$10-'Mass Ion Calculations'!$C9)/2-'Mass Ion Calculations'!$D$5,('Mass Ion Calculations'!$F$15+'AA Exact Masses'!$Q$2+'AA Exact Masses'!$Q$2-'Mass Ion Calculations'!$E$10-'Mass Ion Calculations'!$E9)/2-'Mass Ion Calculations'!$D$5)))</f>
        <v>-403.09008999999992</v>
      </c>
      <c r="I8" s="3">
        <f>IF(OR($B8="",I$3=""),"",IF('Mass Ion Calculations'!$D$6="Yes",IF('Mass Ion Calculations'!$D$7="Yes",('Mass Ion Calculations'!$D$18+'AA Exact Masses'!$Q$2+'AA Exact Masses'!$Q$2-'Mass Ion Calculations'!$C$11-'Mass Ion Calculations'!$C9)/2-'Mass Ion Calculations'!$D$5,('Mass Ion Calculations'!$F$18+'AA Exact Masses'!$Q$2+'AA Exact Masses'!$Q$2-'Mass Ion Calculations'!$E$11-'Mass Ion Calculations'!$E9)/2-'Mass Ion Calculations'!$D$5),IF('Mass Ion Calculations'!$D$7="Yes", ('Mass Ion Calculations'!$D$15+'AA Exact Masses'!$Q$2+'AA Exact Masses'!$Q$2-'Mass Ion Calculations'!$C$11-'Mass Ion Calculations'!$C9)/2-'Mass Ion Calculations'!$D$5,('Mass Ion Calculations'!$F$15+'AA Exact Masses'!$Q$2+'AA Exact Masses'!$Q$2-'Mass Ion Calculations'!$E$11-'Mass Ion Calculations'!$E9)/2-'Mass Ion Calculations'!$D$5)))</f>
        <v>-403.58771999999999</v>
      </c>
      <c r="J8" s="3">
        <f>IF(OR($B8="",J$3=""),"",IF('Mass Ion Calculations'!$D$6="Yes",IF('Mass Ion Calculations'!$D$7="Yes",('Mass Ion Calculations'!$D$18+'AA Exact Masses'!$Q$2+'AA Exact Masses'!$Q$2-'Mass Ion Calculations'!$C$12-'Mass Ion Calculations'!$C9)/2-'Mass Ion Calculations'!$D$5,('Mass Ion Calculations'!$F$18+'AA Exact Masses'!$Q$2+'AA Exact Masses'!$Q$2-'Mass Ion Calculations'!$E$12-'Mass Ion Calculations'!$E9)/2-'Mass Ion Calculations'!$D$5),IF('Mass Ion Calculations'!$D$7="Yes", ('Mass Ion Calculations'!$D$15+'AA Exact Masses'!$Q$2+'AA Exact Masses'!$Q$2-'Mass Ion Calculations'!$C$12-'Mass Ion Calculations'!$C9)/2-'Mass Ion Calculations'!$D$5,('Mass Ion Calculations'!$F$15+'AA Exact Masses'!$Q$2+'AA Exact Masses'!$Q$2-'Mass Ion Calculations'!$E$12-'Mass Ion Calculations'!$E9)/2-'Mass Ion Calculations'!$D$5)))</f>
        <v>-396.08226500000001</v>
      </c>
      <c r="K8" s="3">
        <f>IF(OR($B8="",K$3=""),"",IF('Mass Ion Calculations'!$D$6="Yes",IF('Mass Ion Calculations'!$D$7="Yes",('Mass Ion Calculations'!$D$18+'AA Exact Masses'!$Q$2+'AA Exact Masses'!$Q$2-'Mass Ion Calculations'!$C$13-'Mass Ion Calculations'!$C9)/2-'Mass Ion Calculations'!$D$5,('Mass Ion Calculations'!$F$18+'AA Exact Masses'!$Q$2+'AA Exact Masses'!$Q$2-'Mass Ion Calculations'!$E$13-'Mass Ion Calculations'!$E9)/2-'Mass Ion Calculations'!$D$5),IF('Mass Ion Calculations'!$D$7="Yes", ('Mass Ion Calculations'!$D$15+'AA Exact Masses'!$Q$2+'AA Exact Masses'!$Q$2-'Mass Ion Calculations'!$C$13-'Mass Ion Calculations'!$C9)/2-'Mass Ion Calculations'!$D$5,('Mass Ion Calculations'!$F$15+'AA Exact Masses'!$Q$2+'AA Exact Masses'!$Q$2-'Mass Ion Calculations'!$E$13-'Mass Ion Calculations'!$E9)/2-'Mass Ion Calculations'!$D$5)))</f>
        <v>-403.58771999999999</v>
      </c>
      <c r="L8" s="3">
        <f>IF(OR($B8="",L$3=""),"",IF('Mass Ion Calculations'!$D$6="Yes",IF('Mass Ion Calculations'!$D$7="Yes",('Mass Ion Calculations'!$D$18+'AA Exact Masses'!$Q$2+'AA Exact Masses'!$Q$2-'Mass Ion Calculations'!$C$14-'Mass Ion Calculations'!$C9)/2-'Mass Ion Calculations'!$D$5,('Mass Ion Calculations'!$F$18+'AA Exact Masses'!$Q$2+'AA Exact Masses'!$Q$2-'Mass Ion Calculations'!$E$14-'Mass Ion Calculations'!$E9)/2-'Mass Ion Calculations'!$D$5),IF('Mass Ion Calculations'!$D$7="Yes", ('Mass Ion Calculations'!$D$15+'AA Exact Masses'!$Q$2+'AA Exact Masses'!$Q$2-'Mass Ion Calculations'!$C$14-'Mass Ion Calculations'!$C9)/2-'Mass Ion Calculations'!$D$5,('Mass Ion Calculations'!$F$15+'AA Exact Masses'!$Q$2+'AA Exact Masses'!$Q$2-'Mass Ion Calculations'!$E$14-'Mass Ion Calculations'!$E9)/2-'Mass Ion Calculations'!$D$5)))</f>
        <v>-411.06935499999997</v>
      </c>
      <c r="M8" s="3">
        <f>IF(OR($B8="",M$3=""),"",IF('Mass Ion Calculations'!$D$6="Yes",IF('Mass Ion Calculations'!$D$7="Yes",('Mass Ion Calculations'!$D$18+'AA Exact Masses'!$Q$2+'AA Exact Masses'!$Q$2-'Mass Ion Calculations'!$C$15-'Mass Ion Calculations'!$C9)/2-'Mass Ion Calculations'!$D$5,('Mass Ion Calculations'!$F$18+'AA Exact Masses'!$Q$2+'AA Exact Masses'!$Q$2-'Mass Ion Calculations'!$E$15-'Mass Ion Calculations'!$E9)/2-'Mass Ion Calculations'!$D$5),IF('Mass Ion Calculations'!$D$7="Yes", ('Mass Ion Calculations'!$D$15+'AA Exact Masses'!$Q$2+'AA Exact Masses'!$Q$2-'Mass Ion Calculations'!$C$15-'Mass Ion Calculations'!$C9)/2-'Mass Ion Calculations'!$D$5,('Mass Ion Calculations'!$F$15+'AA Exact Masses'!$Q$2+'AA Exact Masses'!$Q$2-'Mass Ion Calculations'!$E$15-'Mass Ion Calculations'!$E9)/2-'Mass Ion Calculations'!$D$5)))</f>
        <v>-404.06152999999995</v>
      </c>
      <c r="N8" s="3">
        <f>IF(OR($B8="",N$3=""),"",IF('Mass Ion Calculations'!$D$6="Yes",IF('Mass Ion Calculations'!$D$7="Yes",('Mass Ion Calculations'!$D$18+'AA Exact Masses'!$Q$2+'AA Exact Masses'!$Q$2-'Mass Ion Calculations'!$C$16-'Mass Ion Calculations'!$C9)/2-'Mass Ion Calculations'!$D$5,('Mass Ion Calculations'!$F$18+'AA Exact Masses'!$Q$2+'AA Exact Masses'!$Q$2-'Mass Ion Calculations'!$E$16-'Mass Ion Calculations'!$E9)/2-'Mass Ion Calculations'!$D$5),IF('Mass Ion Calculations'!$D$7="Yes", ('Mass Ion Calculations'!$D$15+'AA Exact Masses'!$Q$2+'AA Exact Masses'!$Q$2-'Mass Ion Calculations'!$C$16-'Mass Ion Calculations'!$C9)/2-'Mass Ion Calculations'!$D$5,('Mass Ion Calculations'!$F$15+'AA Exact Masses'!$Q$2+'AA Exact Masses'!$Q$2-'Mass Ion Calculations'!$E$16-'Mass Ion Calculations'!$E9)/2-'Mass Ion Calculations'!$D$5)))</f>
        <v>-382.06661499999996</v>
      </c>
      <c r="O8" s="3">
        <f>IF(OR($B8="",O$3=""),"",IF('Mass Ion Calculations'!$D$6="Yes",IF('Mass Ion Calculations'!$D$7="Yes",('Mass Ion Calculations'!$D$18+'AA Exact Masses'!$Q$2+'AA Exact Masses'!$Q$2-'Mass Ion Calculations'!$C$17-'Mass Ion Calculations'!$C9)/2-'Mass Ion Calculations'!$D$5,('Mass Ion Calculations'!$F$18+'AA Exact Masses'!$Q$2+'AA Exact Masses'!$Q$2-'Mass Ion Calculations'!$E$17-'Mass Ion Calculations'!$E9)/2-'Mass Ion Calculations'!$D$5),IF('Mass Ion Calculations'!$D$7="Yes", ('Mass Ion Calculations'!$D$15+'AA Exact Masses'!$Q$2+'AA Exact Masses'!$Q$2-'Mass Ion Calculations'!$C$17-'Mass Ion Calculations'!$C9)/2-'Mass Ion Calculations'!$D$5,('Mass Ion Calculations'!$F$15+'AA Exact Masses'!$Q$2+'AA Exact Masses'!$Q$2-'Mass Ion Calculations'!$E$17-'Mass Ion Calculations'!$E9)/2-'Mass Ion Calculations'!$D$5)))</f>
        <v>-420.08226500000001</v>
      </c>
      <c r="P8" s="3">
        <f>IF(OR($B8="",P$3=""),"",IF('Mass Ion Calculations'!$D$6="Yes",IF('Mass Ion Calculations'!$D$7="Yes",('Mass Ion Calculations'!$D$18+'AA Exact Masses'!$Q$2+'AA Exact Masses'!$Q$2-'Mass Ion Calculations'!$C$18-'Mass Ion Calculations'!$C9)/2-'Mass Ion Calculations'!$D$5,('Mass Ion Calculations'!$F$18+'AA Exact Masses'!$Q$2+'AA Exact Masses'!$Q$2-'Mass Ion Calculations'!$E$18-'Mass Ion Calculations'!$E9)/2-'Mass Ion Calculations'!$D$5),IF('Mass Ion Calculations'!$D$7="Yes", ('Mass Ion Calculations'!$D$15+'AA Exact Masses'!$Q$2+'AA Exact Masses'!$Q$2-'Mass Ion Calculations'!$C$18-'Mass Ion Calculations'!$C9)/2-'Mass Ion Calculations'!$D$5,('Mass Ion Calculations'!$F$15+'AA Exact Masses'!$Q$2+'AA Exact Masses'!$Q$2-'Mass Ion Calculations'!$E$18-'Mass Ion Calculations'!$E9)/2-'Mass Ion Calculations'!$D$5)))</f>
        <v>-483.03058999999996</v>
      </c>
      <c r="Q8" s="3">
        <f>IF(OR($B8="",Q$3=""),"",IF('Mass Ion Calculations'!$D$6="Yes",IF('Mass Ion Calculations'!$D$7="Yes",('Mass Ion Calculations'!$D$18+'AA Exact Masses'!$Q$2+'AA Exact Masses'!$Q$2-'Mass Ion Calculations'!$C$19-'Mass Ion Calculations'!$C9)/2-'Mass Ion Calculations'!$D$5,('Mass Ion Calculations'!$F$18+'AA Exact Masses'!$Q$2+'AA Exact Masses'!$Q$2-'Mass Ion Calculations'!$E$19-'Mass Ion Calculations'!$E9)/2-'Mass Ion Calculations'!$D$5),IF('Mass Ion Calculations'!$D$7="Yes", ('Mass Ion Calculations'!$D$15+'AA Exact Masses'!$Q$2+'AA Exact Masses'!$Q$2-'Mass Ion Calculations'!$C$19-'Mass Ion Calculations'!$C9)/2-'Mass Ion Calculations'!$D$5,('Mass Ion Calculations'!$F$15+'AA Exact Masses'!$Q$2+'AA Exact Masses'!$Q$2-'Mass Ion Calculations'!$E$19-'Mass Ion Calculations'!$E9)/2-'Mass Ion Calculations'!$D$5)))</f>
        <v>-396.08226500000001</v>
      </c>
      <c r="R8" s="3">
        <f>IF(OR($B8="",R$3=""),"",IF('Mass Ion Calculations'!$D$6="Yes",IF('Mass Ion Calculations'!$D$7="Yes",('Mass Ion Calculations'!$D$18+'AA Exact Masses'!$Q$2+'AA Exact Masses'!$Q$2-'Mass Ion Calculations'!$C$20-'Mass Ion Calculations'!$C9)/2-'Mass Ion Calculations'!$D$5,('Mass Ion Calculations'!$F$18+'AA Exact Masses'!$Q$2+'AA Exact Masses'!$Q$2-'Mass Ion Calculations'!$E$20-'Mass Ion Calculations'!$E9)/2-'Mass Ion Calculations'!$D$5),IF('Mass Ion Calculations'!$D$7="Yes", ('Mass Ion Calculations'!$D$15+'AA Exact Masses'!$Q$2+'AA Exact Masses'!$Q$2-'Mass Ion Calculations'!$C$20-'Mass Ion Calculations'!$C9)/2-'Mass Ion Calculations'!$D$5,('Mass Ion Calculations'!$F$15+'AA Exact Masses'!$Q$2+'AA Exact Masses'!$Q$2-'Mass Ion Calculations'!$E$20-'Mass Ion Calculations'!$E9)/2-'Mass Ion Calculations'!$D$5)))</f>
        <v>-403.09008999999992</v>
      </c>
      <c r="S8" s="3" t="str">
        <f>IF(OR($B8="",S$3=""),"",IF('Mass Ion Calculations'!$D$6="Yes",IF('Mass Ion Calculations'!$D$7="Yes",('Mass Ion Calculations'!$D$18+'AA Exact Masses'!$Q$2+'AA Exact Masses'!$Q$2-'Mass Ion Calculations'!$C$21-'Mass Ion Calculations'!$C9)/2-'Mass Ion Calculations'!$D$5,('Mass Ion Calculations'!$F$18+'AA Exact Masses'!$Q$2+'AA Exact Masses'!$Q$2-'Mass Ion Calculations'!$E$21-'Mass Ion Calculations'!$E9)/2-'Mass Ion Calculations'!$D$5),IF('Mass Ion Calculations'!$D$7="Yes", ('Mass Ion Calculations'!$D$15+'AA Exact Masses'!$Q$2+'AA Exact Masses'!$Q$2-'Mass Ion Calculations'!$C$21-'Mass Ion Calculations'!$C9)/2-'Mass Ion Calculations'!$D$5,('Mass Ion Calculations'!$F$15+'AA Exact Masses'!$Q$2+'AA Exact Masses'!$Q$2-'Mass Ion Calculations'!$E$21-'Mass Ion Calculations'!$E9)/2-'Mass Ion Calculations'!$D$5)))</f>
        <v/>
      </c>
      <c r="T8" s="3" t="e">
        <f>IF(OR($B8="",T$3=""),"",IF('Mass Ion Calculations'!$D$6="Yes",IF('Mass Ion Calculations'!$D$7="Yes",('Mass Ion Calculations'!$D$18+'AA Exact Masses'!$Q$2+'AA Exact Masses'!$Q$2-'Mass Ion Calculations'!$C$22-'Mass Ion Calculations'!$C9)/2-'Mass Ion Calculations'!$D$5,('Mass Ion Calculations'!$F$18+'AA Exact Masses'!$Q$2+'AA Exact Masses'!$Q$2-'Mass Ion Calculations'!$E$22-'Mass Ion Calculations'!$E9)/2-'Mass Ion Calculations'!$D$5),IF('Mass Ion Calculations'!$D$7="Yes", ('Mass Ion Calculations'!$D$15+'AA Exact Masses'!$Q$2+'AA Exact Masses'!$Q$2-'Mass Ion Calculations'!$C$22-'Mass Ion Calculations'!$C9)/2-'Mass Ion Calculations'!$D$5,('Mass Ion Calculations'!$F$15+'AA Exact Masses'!$Q$2+'AA Exact Masses'!$Q$2-'Mass Ion Calculations'!$E$22-'Mass Ion Calculations'!$E9)/2-'Mass Ion Calculations'!$D$5)))</f>
        <v>#VALUE!</v>
      </c>
      <c r="U8" s="3" t="e">
        <f>IF(OR($B8="",U$3=""),"",IF('Mass Ion Calculations'!$D$6="Yes",IF('Mass Ion Calculations'!$D$7="Yes",('Mass Ion Calculations'!$D$18+'AA Exact Masses'!$Q$2+'AA Exact Masses'!$Q$2-'Mass Ion Calculations'!$C$23-'Mass Ion Calculations'!$C9)/2-'Mass Ion Calculations'!$D$5,('Mass Ion Calculations'!$F$18+'AA Exact Masses'!$Q$2+'AA Exact Masses'!$Q$2-'Mass Ion Calculations'!$E$23-'Mass Ion Calculations'!$E9)/2-'Mass Ion Calculations'!$D$5),IF('Mass Ion Calculations'!$D$7="Yes", ('Mass Ion Calculations'!$D$15+'AA Exact Masses'!$Q$2+'AA Exact Masses'!$Q$2-'Mass Ion Calculations'!$C$23-'Mass Ion Calculations'!$C9)/2-'Mass Ion Calculations'!$D$5,('Mass Ion Calculations'!$F$15+'AA Exact Masses'!$Q$2+'AA Exact Masses'!$Q$2-'Mass Ion Calculations'!$E$23-'Mass Ion Calculations'!$E9)/2-'Mass Ion Calculations'!$D$5)))</f>
        <v>#VALUE!</v>
      </c>
      <c r="V8" s="3" t="str">
        <f>IF(OR($B8="",V$3=""),"",IF('Mass Ion Calculations'!$D$6="Yes",IF('Mass Ion Calculations'!$D$7="Yes",('Mass Ion Calculations'!$D$18+'AA Exact Masses'!$Q$2+'AA Exact Masses'!$Q$2-'Mass Ion Calculations'!$C$24-'Mass Ion Calculations'!$C9)/2-'Mass Ion Calculations'!$D$5,('Mass Ion Calculations'!$F$18+'AA Exact Masses'!$Q$2+'AA Exact Masses'!$Q$2-'Mass Ion Calculations'!$E$24-'Mass Ion Calculations'!$E9)/2-'Mass Ion Calculations'!$D$5),IF('Mass Ion Calculations'!$D$7="Yes", ('Mass Ion Calculations'!$D$15+'AA Exact Masses'!$Q$2+'AA Exact Masses'!$Q$2-'Mass Ion Calculations'!$C$24-'Mass Ion Calculations'!$C9)/2-'Mass Ion Calculations'!$D$5,('Mass Ion Calculations'!$F$15+'AA Exact Masses'!$Q$2+'AA Exact Masses'!$Q$2-'Mass Ion Calculations'!$E$24-'Mass Ion Calculations'!$E9)/2-'Mass Ion Calculations'!$D$5)))</f>
        <v/>
      </c>
      <c r="W8" s="3" t="str">
        <f>IF(OR($B8="",W$3=""),"",IF('Mass Ion Calculations'!$D$6="Yes",IF('Mass Ion Calculations'!$D$7="Yes",('Mass Ion Calculations'!$D$18+'AA Exact Masses'!$Q$2+'AA Exact Masses'!$Q$2-'Mass Ion Calculations'!$C$25-'Mass Ion Calculations'!$C9)/2-'Mass Ion Calculations'!$D$5,('Mass Ion Calculations'!$F$18+'AA Exact Masses'!$Q$2+'AA Exact Masses'!$Q$2-'Mass Ion Calculations'!$E$25-'Mass Ion Calculations'!$E9)/2-'Mass Ion Calculations'!$D$5),IF('Mass Ion Calculations'!$D$7="Yes", ('Mass Ion Calculations'!$D$15+'AA Exact Masses'!$Q$2+'AA Exact Masses'!$Q$2-'Mass Ion Calculations'!$C$25-'Mass Ion Calculations'!$C9)/2-'Mass Ion Calculations'!$D$5,('Mass Ion Calculations'!$F$15+'AA Exact Masses'!$Q$2+'AA Exact Masses'!$Q$2-'Mass Ion Calculations'!$E$25-'Mass Ion Calculations'!$E9)/2-'Mass Ion Calculations'!$D$5)))</f>
        <v/>
      </c>
      <c r="X8" s="3" t="str">
        <f>IF(OR($B8="",X$3=""),"",IF('Mass Ion Calculations'!$D$6="Yes",IF('Mass Ion Calculations'!$D$7="Yes",('Mass Ion Calculations'!$D$18+'AA Exact Masses'!$Q$2+'AA Exact Masses'!$Q$2-'Mass Ion Calculations'!$C$26-'Mass Ion Calculations'!$C9)/2-'Mass Ion Calculations'!$D$5,('Mass Ion Calculations'!$F$18+'AA Exact Masses'!$Q$2+'AA Exact Masses'!$Q$2-'Mass Ion Calculations'!$E$26-'Mass Ion Calculations'!$E9)/2-'Mass Ion Calculations'!$D$5),IF('Mass Ion Calculations'!$D$7="Yes", ('Mass Ion Calculations'!$D$15+'AA Exact Masses'!$Q$2+'AA Exact Masses'!$Q$2-'Mass Ion Calculations'!$C$26-'Mass Ion Calculations'!$C9)/2-'Mass Ion Calculations'!$D$5,('Mass Ion Calculations'!$F$15+'AA Exact Masses'!$Q$2+'AA Exact Masses'!$Q$2-'Mass Ion Calculations'!$E$26-'Mass Ion Calculations'!$E9)/2-'Mass Ion Calculations'!$D$5)))</f>
        <v/>
      </c>
      <c r="Y8" s="3" t="str">
        <f>IF(OR($B8="",Y$3=""),"",IF('Mass Ion Calculations'!$D$6="Yes",IF('Mass Ion Calculations'!$D$7="Yes",('Mass Ion Calculations'!$D$18+'AA Exact Masses'!$Q$2+'AA Exact Masses'!$Q$2-'Mass Ion Calculations'!$C$27-'Mass Ion Calculations'!$C9)/2-'Mass Ion Calculations'!$D$5,('Mass Ion Calculations'!$F$18+'AA Exact Masses'!$Q$2+'AA Exact Masses'!$Q$2-'Mass Ion Calculations'!$E$27-'Mass Ion Calculations'!$E9)/2-'Mass Ion Calculations'!$D$5),IF('Mass Ion Calculations'!$D$7="Yes", ('Mass Ion Calculations'!$D$15+'AA Exact Masses'!$Q$2+'AA Exact Masses'!$Q$2-'Mass Ion Calculations'!$C$27-'Mass Ion Calculations'!$C9)/2-'Mass Ion Calculations'!$D$5,('Mass Ion Calculations'!$F$15+'AA Exact Masses'!$Q$2+'AA Exact Masses'!$Q$2-'Mass Ion Calculations'!$E$27-'Mass Ion Calculations'!$E9)/2-'Mass Ion Calculations'!$D$5)))</f>
        <v/>
      </c>
      <c r="Z8" s="3" t="str">
        <f>IF(OR($B8="",Z$3=""),"",IF('Mass Ion Calculations'!$D$6="Yes",IF('Mass Ion Calculations'!$D$7="Yes",('Mass Ion Calculations'!$D$18+'AA Exact Masses'!$Q$2+'AA Exact Masses'!$Q$2-'Mass Ion Calculations'!$C$28-'Mass Ion Calculations'!$C9)/2-'Mass Ion Calculations'!$D$5,('Mass Ion Calculations'!$F$18+'AA Exact Masses'!$Q$2+'AA Exact Masses'!$Q$2-'Mass Ion Calculations'!$E$28-'Mass Ion Calculations'!$E9)/2-'Mass Ion Calculations'!$D$5),IF('Mass Ion Calculations'!$D$7="Yes", ('Mass Ion Calculations'!$D$15+'AA Exact Masses'!$Q$2+'AA Exact Masses'!$Q$2-'Mass Ion Calculations'!$C$28-'Mass Ion Calculations'!$C9)/2-'Mass Ion Calculations'!$D$5,('Mass Ion Calculations'!$F$15+'AA Exact Masses'!$Q$2+'AA Exact Masses'!$Q$2-'Mass Ion Calculations'!$E$28-'Mass Ion Calculations'!$E9)/2-'Mass Ion Calculations'!$D$5)))</f>
        <v/>
      </c>
    </row>
    <row r="9" spans="2:26" x14ac:dyDescent="0.25">
      <c r="B9" s="4" t="str">
        <f>IF('Mass Ion Calculations'!B10="","", 'Mass Ion Calculations'!B10)</f>
        <v>Leu</v>
      </c>
      <c r="C9" s="3">
        <f>IF(OR($B9="",C$3=""),"",IF('Mass Ion Calculations'!$D$6="Yes",IF('Mass Ion Calculations'!$D$7="Yes",('Mass Ion Calculations'!$D$18+'AA Exact Masses'!$Q$2+'AA Exact Masses'!$Q$2-'Mass Ion Calculations'!$C$5-'Mass Ion Calculations'!$C10)/2-'Mass Ion Calculations'!$D$5,('Mass Ion Calculations'!$F$18+'AA Exact Masses'!$Q$2+'AA Exact Masses'!$Q$2-'Mass Ion Calculations'!$E$5-'Mass Ion Calculations'!$E10)/2-'Mass Ion Calculations'!$D$5),IF('Mass Ion Calculations'!$D$7="Yes", ('Mass Ion Calculations'!$D$15+'AA Exact Masses'!$Q$2+'AA Exact Masses'!$Q$2-'Mass Ion Calculations'!$C$5-'Mass Ion Calculations'!$C10)/2-'Mass Ion Calculations'!$D$5,('Mass Ion Calculations'!$F$15+'AA Exact Masses'!$Q$2+'AA Exact Masses'!$Q$2-'Mass Ion Calculations'!$E$5-'Mass Ion Calculations'!$E10)/2-'Mass Ion Calculations'!$D$5)))</f>
        <v>-424.61119499999995</v>
      </c>
      <c r="D9" s="3">
        <f>IF(OR($B9="",D$3=""),"",IF('Mass Ion Calculations'!$D$6="Yes",IF('Mass Ion Calculations'!$D$7="Yes",('Mass Ion Calculations'!$D$18+'AA Exact Masses'!$Q$2+'AA Exact Masses'!$Q$2-'Mass Ion Calculations'!$C$6-'Mass Ion Calculations'!$C10)/2-'Mass Ion Calculations'!$D$5,('Mass Ion Calculations'!$F$18+'AA Exact Masses'!$Q$2+'AA Exact Masses'!$Q$2-'Mass Ion Calculations'!$E$6-'Mass Ion Calculations'!$E10)/2-'Mass Ion Calculations'!$D$5),IF('Mass Ion Calculations'!$D$7="Yes", ('Mass Ion Calculations'!$D$15+'AA Exact Masses'!$Q$2+'AA Exact Masses'!$Q$2-'Mass Ion Calculations'!$C$6-'Mass Ion Calculations'!$C10)/2-'Mass Ion Calculations'!$D$5,('Mass Ion Calculations'!$F$15+'AA Exact Masses'!$Q$2+'AA Exact Masses'!$Q$2-'Mass Ion Calculations'!$E$6-'Mass Ion Calculations'!$E10)/2-'Mass Ion Calculations'!$D$5)))</f>
        <v>-403.09008999999992</v>
      </c>
      <c r="E9" s="3">
        <f>IF(OR($B9="",E$3=""),"",IF('Mass Ion Calculations'!$D$6="Yes",IF('Mass Ion Calculations'!$D$7="Yes",('Mass Ion Calculations'!$D$18+'AA Exact Masses'!$Q$2+'AA Exact Masses'!$Q$2-'Mass Ion Calculations'!$C$7-'Mass Ion Calculations'!$C10)/2-'Mass Ion Calculations'!$D$5,('Mass Ion Calculations'!$F$18+'AA Exact Masses'!$Q$2+'AA Exact Masses'!$Q$2-'Mass Ion Calculations'!$E$7-'Mass Ion Calculations'!$E10)/2-'Mass Ion Calculations'!$D$5),IF('Mass Ion Calculations'!$D$7="Yes", ('Mass Ion Calculations'!$D$15+'AA Exact Masses'!$Q$2+'AA Exact Masses'!$Q$2-'Mass Ion Calculations'!$C$7-'Mass Ion Calculations'!$C10)/2-'Mass Ion Calculations'!$D$5,('Mass Ion Calculations'!$F$15+'AA Exact Masses'!$Q$2+'AA Exact Masses'!$Q$2-'Mass Ion Calculations'!$E$7-'Mass Ion Calculations'!$E10)/2-'Mass Ion Calculations'!$D$5)))</f>
        <v>-424.11356499999988</v>
      </c>
      <c r="F9" s="3">
        <f>IF(OR($B9="",F$3=""),"",IF('Mass Ion Calculations'!$D$6="Yes",IF('Mass Ion Calculations'!$D$7="Yes",('Mass Ion Calculations'!$D$18+'AA Exact Masses'!$Q$2+'AA Exact Masses'!$Q$2-'Mass Ion Calculations'!$C$8-'Mass Ion Calculations'!$C10)/2-'Mass Ion Calculations'!$D$5,('Mass Ion Calculations'!$F$18+'AA Exact Masses'!$Q$2+'AA Exact Masses'!$Q$2-'Mass Ion Calculations'!$E$8-'Mass Ion Calculations'!$E10)/2-'Mass Ion Calculations'!$D$5),IF('Mass Ion Calculations'!$D$7="Yes", ('Mass Ion Calculations'!$D$15+'AA Exact Masses'!$Q$2+'AA Exact Masses'!$Q$2-'Mass Ion Calculations'!$C$8-'Mass Ion Calculations'!$C10)/2-'Mass Ion Calculations'!$D$5,('Mass Ion Calculations'!$F$15+'AA Exact Masses'!$Q$2+'AA Exact Masses'!$Q$2-'Mass Ion Calculations'!$E$8-'Mass Ion Calculations'!$E10)/2-'Mass Ion Calculations'!$D$5)))</f>
        <v>-424.11356499999988</v>
      </c>
      <c r="G9" s="3">
        <f>IF(OR($B9="",G$3=""),"",IF('Mass Ion Calculations'!$D$6="Yes",IF('Mass Ion Calculations'!$D$7="Yes",('Mass Ion Calculations'!$D$18+'AA Exact Masses'!$Q$2+'AA Exact Masses'!$Q$2-'Mass Ion Calculations'!$C$9-'Mass Ion Calculations'!$C10)/2-'Mass Ion Calculations'!$D$5,('Mass Ion Calculations'!$F$18+'AA Exact Masses'!$Q$2+'AA Exact Masses'!$Q$2-'Mass Ion Calculations'!$E$9-'Mass Ion Calculations'!$E10)/2-'Mass Ion Calculations'!$D$5),IF('Mass Ion Calculations'!$D$7="Yes", ('Mass Ion Calculations'!$D$15+'AA Exact Masses'!$Q$2+'AA Exact Masses'!$Q$2-'Mass Ion Calculations'!$C$9-'Mass Ion Calculations'!$C10)/2-'Mass Ion Calculations'!$D$5,('Mass Ion Calculations'!$F$15+'AA Exact Masses'!$Q$2+'AA Exact Masses'!$Q$2-'Mass Ion Calculations'!$E$9-'Mass Ion Calculations'!$E10)/2-'Mass Ion Calculations'!$D$5)))</f>
        <v>-403.09008999999992</v>
      </c>
      <c r="H9" s="3">
        <f>IF(OR($B9="",H$3=""),"",IF('Mass Ion Calculations'!$D$6="Yes",IF('Mass Ion Calculations'!$D$7="Yes",('Mass Ion Calculations'!$D$18+'AA Exact Masses'!$Q$2+'AA Exact Masses'!$Q$2-'Mass Ion Calculations'!$C$10-'Mass Ion Calculations'!$C10)/2-'Mass Ion Calculations'!$D$5,('Mass Ion Calculations'!$F$18+'AA Exact Masses'!$Q$2+'AA Exact Masses'!$Q$2-'Mass Ion Calculations'!$E$10-'Mass Ion Calculations'!$E10)/2-'Mass Ion Calculations'!$D$5),IF('Mass Ion Calculations'!$D$7="Yes", ('Mass Ion Calculations'!$D$15+'AA Exact Masses'!$Q$2+'AA Exact Masses'!$Q$2-'Mass Ion Calculations'!$C$10-'Mass Ion Calculations'!$C10)/2-'Mass Ion Calculations'!$D$5,('Mass Ion Calculations'!$F$15+'AA Exact Masses'!$Q$2+'AA Exact Masses'!$Q$2-'Mass Ion Calculations'!$E$10-'Mass Ion Calculations'!$E10)/2-'Mass Ion Calculations'!$D$5)))</f>
        <v>-424.11356499999988</v>
      </c>
      <c r="I9" s="3">
        <f>IF(OR($B9="",I$3=""),"",IF('Mass Ion Calculations'!$D$6="Yes",IF('Mass Ion Calculations'!$D$7="Yes",('Mass Ion Calculations'!$D$18+'AA Exact Masses'!$Q$2+'AA Exact Masses'!$Q$2-'Mass Ion Calculations'!$C$11-'Mass Ion Calculations'!$C10)/2-'Mass Ion Calculations'!$D$5,('Mass Ion Calculations'!$F$18+'AA Exact Masses'!$Q$2+'AA Exact Masses'!$Q$2-'Mass Ion Calculations'!$E$11-'Mass Ion Calculations'!$E10)/2-'Mass Ion Calculations'!$D$5),IF('Mass Ion Calculations'!$D$7="Yes", ('Mass Ion Calculations'!$D$15+'AA Exact Masses'!$Q$2+'AA Exact Masses'!$Q$2-'Mass Ion Calculations'!$C$11-'Mass Ion Calculations'!$C10)/2-'Mass Ion Calculations'!$D$5,('Mass Ion Calculations'!$F$15+'AA Exact Masses'!$Q$2+'AA Exact Masses'!$Q$2-'Mass Ion Calculations'!$E$11-'Mass Ion Calculations'!$E10)/2-'Mass Ion Calculations'!$D$5)))</f>
        <v>-424.61119499999995</v>
      </c>
      <c r="J9" s="3">
        <f>IF(OR($B9="",J$3=""),"",IF('Mass Ion Calculations'!$D$6="Yes",IF('Mass Ion Calculations'!$D$7="Yes",('Mass Ion Calculations'!$D$18+'AA Exact Masses'!$Q$2+'AA Exact Masses'!$Q$2-'Mass Ion Calculations'!$C$12-'Mass Ion Calculations'!$C10)/2-'Mass Ion Calculations'!$D$5,('Mass Ion Calculations'!$F$18+'AA Exact Masses'!$Q$2+'AA Exact Masses'!$Q$2-'Mass Ion Calculations'!$E$12-'Mass Ion Calculations'!$E10)/2-'Mass Ion Calculations'!$D$5),IF('Mass Ion Calculations'!$D$7="Yes", ('Mass Ion Calculations'!$D$15+'AA Exact Masses'!$Q$2+'AA Exact Masses'!$Q$2-'Mass Ion Calculations'!$C$12-'Mass Ion Calculations'!$C10)/2-'Mass Ion Calculations'!$D$5,('Mass Ion Calculations'!$F$15+'AA Exact Masses'!$Q$2+'AA Exact Masses'!$Q$2-'Mass Ion Calculations'!$E$12-'Mass Ion Calculations'!$E10)/2-'Mass Ion Calculations'!$D$5)))</f>
        <v>-417.10573999999997</v>
      </c>
      <c r="K9" s="3">
        <f>IF(OR($B9="",K$3=""),"",IF('Mass Ion Calculations'!$D$6="Yes",IF('Mass Ion Calculations'!$D$7="Yes",('Mass Ion Calculations'!$D$18+'AA Exact Masses'!$Q$2+'AA Exact Masses'!$Q$2-'Mass Ion Calculations'!$C$13-'Mass Ion Calculations'!$C10)/2-'Mass Ion Calculations'!$D$5,('Mass Ion Calculations'!$F$18+'AA Exact Masses'!$Q$2+'AA Exact Masses'!$Q$2-'Mass Ion Calculations'!$E$13-'Mass Ion Calculations'!$E10)/2-'Mass Ion Calculations'!$D$5),IF('Mass Ion Calculations'!$D$7="Yes", ('Mass Ion Calculations'!$D$15+'AA Exact Masses'!$Q$2+'AA Exact Masses'!$Q$2-'Mass Ion Calculations'!$C$13-'Mass Ion Calculations'!$C10)/2-'Mass Ion Calculations'!$D$5,('Mass Ion Calculations'!$F$15+'AA Exact Masses'!$Q$2+'AA Exact Masses'!$Q$2-'Mass Ion Calculations'!$E$13-'Mass Ion Calculations'!$E10)/2-'Mass Ion Calculations'!$D$5)))</f>
        <v>-424.61119499999995</v>
      </c>
      <c r="L9" s="3">
        <f>IF(OR($B9="",L$3=""),"",IF('Mass Ion Calculations'!$D$6="Yes",IF('Mass Ion Calculations'!$D$7="Yes",('Mass Ion Calculations'!$D$18+'AA Exact Masses'!$Q$2+'AA Exact Masses'!$Q$2-'Mass Ion Calculations'!$C$14-'Mass Ion Calculations'!$C10)/2-'Mass Ion Calculations'!$D$5,('Mass Ion Calculations'!$F$18+'AA Exact Masses'!$Q$2+'AA Exact Masses'!$Q$2-'Mass Ion Calculations'!$E$14-'Mass Ion Calculations'!$E10)/2-'Mass Ion Calculations'!$D$5),IF('Mass Ion Calculations'!$D$7="Yes", ('Mass Ion Calculations'!$D$15+'AA Exact Masses'!$Q$2+'AA Exact Masses'!$Q$2-'Mass Ion Calculations'!$C$14-'Mass Ion Calculations'!$C10)/2-'Mass Ion Calculations'!$D$5,('Mass Ion Calculations'!$F$15+'AA Exact Masses'!$Q$2+'AA Exact Masses'!$Q$2-'Mass Ion Calculations'!$E$14-'Mass Ion Calculations'!$E10)/2-'Mass Ion Calculations'!$D$5)))</f>
        <v>-432.09282999999994</v>
      </c>
      <c r="M9" s="3">
        <f>IF(OR($B9="",M$3=""),"",IF('Mass Ion Calculations'!$D$6="Yes",IF('Mass Ion Calculations'!$D$7="Yes",('Mass Ion Calculations'!$D$18+'AA Exact Masses'!$Q$2+'AA Exact Masses'!$Q$2-'Mass Ion Calculations'!$C$15-'Mass Ion Calculations'!$C10)/2-'Mass Ion Calculations'!$D$5,('Mass Ion Calculations'!$F$18+'AA Exact Masses'!$Q$2+'AA Exact Masses'!$Q$2-'Mass Ion Calculations'!$E$15-'Mass Ion Calculations'!$E10)/2-'Mass Ion Calculations'!$D$5),IF('Mass Ion Calculations'!$D$7="Yes", ('Mass Ion Calculations'!$D$15+'AA Exact Masses'!$Q$2+'AA Exact Masses'!$Q$2-'Mass Ion Calculations'!$C$15-'Mass Ion Calculations'!$C10)/2-'Mass Ion Calculations'!$D$5,('Mass Ion Calculations'!$F$15+'AA Exact Masses'!$Q$2+'AA Exact Masses'!$Q$2-'Mass Ion Calculations'!$E$15-'Mass Ion Calculations'!$E10)/2-'Mass Ion Calculations'!$D$5)))</f>
        <v>-425.08500499999991</v>
      </c>
      <c r="N9" s="3">
        <f>IF(OR($B9="",N$3=""),"",IF('Mass Ion Calculations'!$D$6="Yes",IF('Mass Ion Calculations'!$D$7="Yes",('Mass Ion Calculations'!$D$18+'AA Exact Masses'!$Q$2+'AA Exact Masses'!$Q$2-'Mass Ion Calculations'!$C$16-'Mass Ion Calculations'!$C10)/2-'Mass Ion Calculations'!$D$5,('Mass Ion Calculations'!$F$18+'AA Exact Masses'!$Q$2+'AA Exact Masses'!$Q$2-'Mass Ion Calculations'!$E$16-'Mass Ion Calculations'!$E10)/2-'Mass Ion Calculations'!$D$5),IF('Mass Ion Calculations'!$D$7="Yes", ('Mass Ion Calculations'!$D$15+'AA Exact Masses'!$Q$2+'AA Exact Masses'!$Q$2-'Mass Ion Calculations'!$C$16-'Mass Ion Calculations'!$C10)/2-'Mass Ion Calculations'!$D$5,('Mass Ion Calculations'!$F$15+'AA Exact Masses'!$Q$2+'AA Exact Masses'!$Q$2-'Mass Ion Calculations'!$E$16-'Mass Ion Calculations'!$E10)/2-'Mass Ion Calculations'!$D$5)))</f>
        <v>-403.09008999999992</v>
      </c>
      <c r="O9" s="3">
        <f>IF(OR($B9="",O$3=""),"",IF('Mass Ion Calculations'!$D$6="Yes",IF('Mass Ion Calculations'!$D$7="Yes",('Mass Ion Calculations'!$D$18+'AA Exact Masses'!$Q$2+'AA Exact Masses'!$Q$2-'Mass Ion Calculations'!$C$17-'Mass Ion Calculations'!$C10)/2-'Mass Ion Calculations'!$D$5,('Mass Ion Calculations'!$F$18+'AA Exact Masses'!$Q$2+'AA Exact Masses'!$Q$2-'Mass Ion Calculations'!$E$17-'Mass Ion Calculations'!$E10)/2-'Mass Ion Calculations'!$D$5),IF('Mass Ion Calculations'!$D$7="Yes", ('Mass Ion Calculations'!$D$15+'AA Exact Masses'!$Q$2+'AA Exact Masses'!$Q$2-'Mass Ion Calculations'!$C$17-'Mass Ion Calculations'!$C10)/2-'Mass Ion Calculations'!$D$5,('Mass Ion Calculations'!$F$15+'AA Exact Masses'!$Q$2+'AA Exact Masses'!$Q$2-'Mass Ion Calculations'!$E$17-'Mass Ion Calculations'!$E10)/2-'Mass Ion Calculations'!$D$5)))</f>
        <v>-441.10573999999997</v>
      </c>
      <c r="P9" s="3">
        <f>IF(OR($B9="",P$3=""),"",IF('Mass Ion Calculations'!$D$6="Yes",IF('Mass Ion Calculations'!$D$7="Yes",('Mass Ion Calculations'!$D$18+'AA Exact Masses'!$Q$2+'AA Exact Masses'!$Q$2-'Mass Ion Calculations'!$C$18-'Mass Ion Calculations'!$C10)/2-'Mass Ion Calculations'!$D$5,('Mass Ion Calculations'!$F$18+'AA Exact Masses'!$Q$2+'AA Exact Masses'!$Q$2-'Mass Ion Calculations'!$E$18-'Mass Ion Calculations'!$E10)/2-'Mass Ion Calculations'!$D$5),IF('Mass Ion Calculations'!$D$7="Yes", ('Mass Ion Calculations'!$D$15+'AA Exact Masses'!$Q$2+'AA Exact Masses'!$Q$2-'Mass Ion Calculations'!$C$18-'Mass Ion Calculations'!$C10)/2-'Mass Ion Calculations'!$D$5,('Mass Ion Calculations'!$F$15+'AA Exact Masses'!$Q$2+'AA Exact Masses'!$Q$2-'Mass Ion Calculations'!$E$18-'Mass Ion Calculations'!$E10)/2-'Mass Ion Calculations'!$D$5)))</f>
        <v>-504.05406499999992</v>
      </c>
      <c r="Q9" s="3">
        <f>IF(OR($B9="",Q$3=""),"",IF('Mass Ion Calculations'!$D$6="Yes",IF('Mass Ion Calculations'!$D$7="Yes",('Mass Ion Calculations'!$D$18+'AA Exact Masses'!$Q$2+'AA Exact Masses'!$Q$2-'Mass Ion Calculations'!$C$19-'Mass Ion Calculations'!$C10)/2-'Mass Ion Calculations'!$D$5,('Mass Ion Calculations'!$F$18+'AA Exact Masses'!$Q$2+'AA Exact Masses'!$Q$2-'Mass Ion Calculations'!$E$19-'Mass Ion Calculations'!$E10)/2-'Mass Ion Calculations'!$D$5),IF('Mass Ion Calculations'!$D$7="Yes", ('Mass Ion Calculations'!$D$15+'AA Exact Masses'!$Q$2+'AA Exact Masses'!$Q$2-'Mass Ion Calculations'!$C$19-'Mass Ion Calculations'!$C10)/2-'Mass Ion Calculations'!$D$5,('Mass Ion Calculations'!$F$15+'AA Exact Masses'!$Q$2+'AA Exact Masses'!$Q$2-'Mass Ion Calculations'!$E$19-'Mass Ion Calculations'!$E10)/2-'Mass Ion Calculations'!$D$5)))</f>
        <v>-417.10573999999997</v>
      </c>
      <c r="R9" s="3">
        <f>IF(OR($B9="",R$3=""),"",IF('Mass Ion Calculations'!$D$6="Yes",IF('Mass Ion Calculations'!$D$7="Yes",('Mass Ion Calculations'!$D$18+'AA Exact Masses'!$Q$2+'AA Exact Masses'!$Q$2-'Mass Ion Calculations'!$C$20-'Mass Ion Calculations'!$C10)/2-'Mass Ion Calculations'!$D$5,('Mass Ion Calculations'!$F$18+'AA Exact Masses'!$Q$2+'AA Exact Masses'!$Q$2-'Mass Ion Calculations'!$E$20-'Mass Ion Calculations'!$E10)/2-'Mass Ion Calculations'!$D$5),IF('Mass Ion Calculations'!$D$7="Yes", ('Mass Ion Calculations'!$D$15+'AA Exact Masses'!$Q$2+'AA Exact Masses'!$Q$2-'Mass Ion Calculations'!$C$20-'Mass Ion Calculations'!$C10)/2-'Mass Ion Calculations'!$D$5,('Mass Ion Calculations'!$F$15+'AA Exact Masses'!$Q$2+'AA Exact Masses'!$Q$2-'Mass Ion Calculations'!$E$20-'Mass Ion Calculations'!$E10)/2-'Mass Ion Calculations'!$D$5)))</f>
        <v>-424.11356499999988</v>
      </c>
      <c r="S9" s="3" t="str">
        <f>IF(OR($B9="",S$3=""),"",IF('Mass Ion Calculations'!$D$6="Yes",IF('Mass Ion Calculations'!$D$7="Yes",('Mass Ion Calculations'!$D$18+'AA Exact Masses'!$Q$2+'AA Exact Masses'!$Q$2-'Mass Ion Calculations'!$C$21-'Mass Ion Calculations'!$C10)/2-'Mass Ion Calculations'!$D$5,('Mass Ion Calculations'!$F$18+'AA Exact Masses'!$Q$2+'AA Exact Masses'!$Q$2-'Mass Ion Calculations'!$E$21-'Mass Ion Calculations'!$E10)/2-'Mass Ion Calculations'!$D$5),IF('Mass Ion Calculations'!$D$7="Yes", ('Mass Ion Calculations'!$D$15+'AA Exact Masses'!$Q$2+'AA Exact Masses'!$Q$2-'Mass Ion Calculations'!$C$21-'Mass Ion Calculations'!$C10)/2-'Mass Ion Calculations'!$D$5,('Mass Ion Calculations'!$F$15+'AA Exact Masses'!$Q$2+'AA Exact Masses'!$Q$2-'Mass Ion Calculations'!$E$21-'Mass Ion Calculations'!$E10)/2-'Mass Ion Calculations'!$D$5)))</f>
        <v/>
      </c>
      <c r="T9" s="3" t="e">
        <f>IF(OR($B9="",T$3=""),"",IF('Mass Ion Calculations'!$D$6="Yes",IF('Mass Ion Calculations'!$D$7="Yes",('Mass Ion Calculations'!$D$18+'AA Exact Masses'!$Q$2+'AA Exact Masses'!$Q$2-'Mass Ion Calculations'!$C$22-'Mass Ion Calculations'!$C10)/2-'Mass Ion Calculations'!$D$5,('Mass Ion Calculations'!$F$18+'AA Exact Masses'!$Q$2+'AA Exact Masses'!$Q$2-'Mass Ion Calculations'!$E$22-'Mass Ion Calculations'!$E10)/2-'Mass Ion Calculations'!$D$5),IF('Mass Ion Calculations'!$D$7="Yes", ('Mass Ion Calculations'!$D$15+'AA Exact Masses'!$Q$2+'AA Exact Masses'!$Q$2-'Mass Ion Calculations'!$C$22-'Mass Ion Calculations'!$C10)/2-'Mass Ion Calculations'!$D$5,('Mass Ion Calculations'!$F$15+'AA Exact Masses'!$Q$2+'AA Exact Masses'!$Q$2-'Mass Ion Calculations'!$E$22-'Mass Ion Calculations'!$E10)/2-'Mass Ion Calculations'!$D$5)))</f>
        <v>#VALUE!</v>
      </c>
      <c r="U9" s="3" t="e">
        <f>IF(OR($B9="",U$3=""),"",IF('Mass Ion Calculations'!$D$6="Yes",IF('Mass Ion Calculations'!$D$7="Yes",('Mass Ion Calculations'!$D$18+'AA Exact Masses'!$Q$2+'AA Exact Masses'!$Q$2-'Mass Ion Calculations'!$C$23-'Mass Ion Calculations'!$C10)/2-'Mass Ion Calculations'!$D$5,('Mass Ion Calculations'!$F$18+'AA Exact Masses'!$Q$2+'AA Exact Masses'!$Q$2-'Mass Ion Calculations'!$E$23-'Mass Ion Calculations'!$E10)/2-'Mass Ion Calculations'!$D$5),IF('Mass Ion Calculations'!$D$7="Yes", ('Mass Ion Calculations'!$D$15+'AA Exact Masses'!$Q$2+'AA Exact Masses'!$Q$2-'Mass Ion Calculations'!$C$23-'Mass Ion Calculations'!$C10)/2-'Mass Ion Calculations'!$D$5,('Mass Ion Calculations'!$F$15+'AA Exact Masses'!$Q$2+'AA Exact Masses'!$Q$2-'Mass Ion Calculations'!$E$23-'Mass Ion Calculations'!$E10)/2-'Mass Ion Calculations'!$D$5)))</f>
        <v>#VALUE!</v>
      </c>
      <c r="V9" s="3" t="str">
        <f>IF(OR($B9="",V$3=""),"",IF('Mass Ion Calculations'!$D$6="Yes",IF('Mass Ion Calculations'!$D$7="Yes",('Mass Ion Calculations'!$D$18+'AA Exact Masses'!$Q$2+'AA Exact Masses'!$Q$2-'Mass Ion Calculations'!$C$24-'Mass Ion Calculations'!$C10)/2-'Mass Ion Calculations'!$D$5,('Mass Ion Calculations'!$F$18+'AA Exact Masses'!$Q$2+'AA Exact Masses'!$Q$2-'Mass Ion Calculations'!$E$24-'Mass Ion Calculations'!$E10)/2-'Mass Ion Calculations'!$D$5),IF('Mass Ion Calculations'!$D$7="Yes", ('Mass Ion Calculations'!$D$15+'AA Exact Masses'!$Q$2+'AA Exact Masses'!$Q$2-'Mass Ion Calculations'!$C$24-'Mass Ion Calculations'!$C10)/2-'Mass Ion Calculations'!$D$5,('Mass Ion Calculations'!$F$15+'AA Exact Masses'!$Q$2+'AA Exact Masses'!$Q$2-'Mass Ion Calculations'!$E$24-'Mass Ion Calculations'!$E10)/2-'Mass Ion Calculations'!$D$5)))</f>
        <v/>
      </c>
      <c r="W9" s="3" t="str">
        <f>IF(OR($B9="",W$3=""),"",IF('Mass Ion Calculations'!$D$6="Yes",IF('Mass Ion Calculations'!$D$7="Yes",('Mass Ion Calculations'!$D$18+'AA Exact Masses'!$Q$2+'AA Exact Masses'!$Q$2-'Mass Ion Calculations'!$C$25-'Mass Ion Calculations'!$C10)/2-'Mass Ion Calculations'!$D$5,('Mass Ion Calculations'!$F$18+'AA Exact Masses'!$Q$2+'AA Exact Masses'!$Q$2-'Mass Ion Calculations'!$E$25-'Mass Ion Calculations'!$E10)/2-'Mass Ion Calculations'!$D$5),IF('Mass Ion Calculations'!$D$7="Yes", ('Mass Ion Calculations'!$D$15+'AA Exact Masses'!$Q$2+'AA Exact Masses'!$Q$2-'Mass Ion Calculations'!$C$25-'Mass Ion Calculations'!$C10)/2-'Mass Ion Calculations'!$D$5,('Mass Ion Calculations'!$F$15+'AA Exact Masses'!$Q$2+'AA Exact Masses'!$Q$2-'Mass Ion Calculations'!$E$25-'Mass Ion Calculations'!$E10)/2-'Mass Ion Calculations'!$D$5)))</f>
        <v/>
      </c>
      <c r="X9" s="3" t="str">
        <f>IF(OR($B9="",X$3=""),"",IF('Mass Ion Calculations'!$D$6="Yes",IF('Mass Ion Calculations'!$D$7="Yes",('Mass Ion Calculations'!$D$18+'AA Exact Masses'!$Q$2+'AA Exact Masses'!$Q$2-'Mass Ion Calculations'!$C$26-'Mass Ion Calculations'!$C10)/2-'Mass Ion Calculations'!$D$5,('Mass Ion Calculations'!$F$18+'AA Exact Masses'!$Q$2+'AA Exact Masses'!$Q$2-'Mass Ion Calculations'!$E$26-'Mass Ion Calculations'!$E10)/2-'Mass Ion Calculations'!$D$5),IF('Mass Ion Calculations'!$D$7="Yes", ('Mass Ion Calculations'!$D$15+'AA Exact Masses'!$Q$2+'AA Exact Masses'!$Q$2-'Mass Ion Calculations'!$C$26-'Mass Ion Calculations'!$C10)/2-'Mass Ion Calculations'!$D$5,('Mass Ion Calculations'!$F$15+'AA Exact Masses'!$Q$2+'AA Exact Masses'!$Q$2-'Mass Ion Calculations'!$E$26-'Mass Ion Calculations'!$E10)/2-'Mass Ion Calculations'!$D$5)))</f>
        <v/>
      </c>
      <c r="Y9" s="3" t="str">
        <f>IF(OR($B9="",Y$3=""),"",IF('Mass Ion Calculations'!$D$6="Yes",IF('Mass Ion Calculations'!$D$7="Yes",('Mass Ion Calculations'!$D$18+'AA Exact Masses'!$Q$2+'AA Exact Masses'!$Q$2-'Mass Ion Calculations'!$C$27-'Mass Ion Calculations'!$C10)/2-'Mass Ion Calculations'!$D$5,('Mass Ion Calculations'!$F$18+'AA Exact Masses'!$Q$2+'AA Exact Masses'!$Q$2-'Mass Ion Calculations'!$E$27-'Mass Ion Calculations'!$E10)/2-'Mass Ion Calculations'!$D$5),IF('Mass Ion Calculations'!$D$7="Yes", ('Mass Ion Calculations'!$D$15+'AA Exact Masses'!$Q$2+'AA Exact Masses'!$Q$2-'Mass Ion Calculations'!$C$27-'Mass Ion Calculations'!$C10)/2-'Mass Ion Calculations'!$D$5,('Mass Ion Calculations'!$F$15+'AA Exact Masses'!$Q$2+'AA Exact Masses'!$Q$2-'Mass Ion Calculations'!$E$27-'Mass Ion Calculations'!$E10)/2-'Mass Ion Calculations'!$D$5)))</f>
        <v/>
      </c>
      <c r="Z9" s="3" t="str">
        <f>IF(OR($B9="",Z$3=""),"",IF('Mass Ion Calculations'!$D$6="Yes",IF('Mass Ion Calculations'!$D$7="Yes",('Mass Ion Calculations'!$D$18+'AA Exact Masses'!$Q$2+'AA Exact Masses'!$Q$2-'Mass Ion Calculations'!$C$28-'Mass Ion Calculations'!$C10)/2-'Mass Ion Calculations'!$D$5,('Mass Ion Calculations'!$F$18+'AA Exact Masses'!$Q$2+'AA Exact Masses'!$Q$2-'Mass Ion Calculations'!$E$28-'Mass Ion Calculations'!$E10)/2-'Mass Ion Calculations'!$D$5),IF('Mass Ion Calculations'!$D$7="Yes", ('Mass Ion Calculations'!$D$15+'AA Exact Masses'!$Q$2+'AA Exact Masses'!$Q$2-'Mass Ion Calculations'!$C$28-'Mass Ion Calculations'!$C10)/2-'Mass Ion Calculations'!$D$5,('Mass Ion Calculations'!$F$15+'AA Exact Masses'!$Q$2+'AA Exact Masses'!$Q$2-'Mass Ion Calculations'!$E$28-'Mass Ion Calculations'!$E10)/2-'Mass Ion Calculations'!$D$5)))</f>
        <v/>
      </c>
    </row>
    <row r="10" spans="2:26" x14ac:dyDescent="0.25">
      <c r="B10" s="4" t="str">
        <f>IF('Mass Ion Calculations'!B11="","", 'Mass Ion Calculations'!B11)</f>
        <v>Orn(Boc)</v>
      </c>
      <c r="C10" s="3">
        <f>IF(OR($B10="",C$3=""),"",IF('Mass Ion Calculations'!$D$6="Yes",IF('Mass Ion Calculations'!$D$7="Yes",('Mass Ion Calculations'!$D$18+'AA Exact Masses'!$Q$2+'AA Exact Masses'!$Q$2-'Mass Ion Calculations'!$C$5-'Mass Ion Calculations'!$C11)/2-'Mass Ion Calculations'!$D$5,('Mass Ion Calculations'!$F$18+'AA Exact Masses'!$Q$2+'AA Exact Masses'!$Q$2-'Mass Ion Calculations'!$E$5-'Mass Ion Calculations'!$E11)/2-'Mass Ion Calculations'!$D$5),IF('Mass Ion Calculations'!$D$7="Yes", ('Mass Ion Calculations'!$D$15+'AA Exact Masses'!$Q$2+'AA Exact Masses'!$Q$2-'Mass Ion Calculations'!$C$5-'Mass Ion Calculations'!$C11)/2-'Mass Ion Calculations'!$D$5,('Mass Ion Calculations'!$F$15+'AA Exact Masses'!$Q$2+'AA Exact Masses'!$Q$2-'Mass Ion Calculations'!$E$5-'Mass Ion Calculations'!$E11)/2-'Mass Ion Calculations'!$D$5)))</f>
        <v>-425.10882500000002</v>
      </c>
      <c r="D10" s="3">
        <f>IF(OR($B10="",D$3=""),"",IF('Mass Ion Calculations'!$D$6="Yes",IF('Mass Ion Calculations'!$D$7="Yes",('Mass Ion Calculations'!$D$18+'AA Exact Masses'!$Q$2+'AA Exact Masses'!$Q$2-'Mass Ion Calculations'!$C$6-'Mass Ion Calculations'!$C11)/2-'Mass Ion Calculations'!$D$5,('Mass Ion Calculations'!$F$18+'AA Exact Masses'!$Q$2+'AA Exact Masses'!$Q$2-'Mass Ion Calculations'!$E$6-'Mass Ion Calculations'!$E11)/2-'Mass Ion Calculations'!$D$5),IF('Mass Ion Calculations'!$D$7="Yes", ('Mass Ion Calculations'!$D$15+'AA Exact Masses'!$Q$2+'AA Exact Masses'!$Q$2-'Mass Ion Calculations'!$C$6-'Mass Ion Calculations'!$C11)/2-'Mass Ion Calculations'!$D$5,('Mass Ion Calculations'!$F$15+'AA Exact Masses'!$Q$2+'AA Exact Masses'!$Q$2-'Mass Ion Calculations'!$E$6-'Mass Ion Calculations'!$E11)/2-'Mass Ion Calculations'!$D$5)))</f>
        <v>-403.58771999999999</v>
      </c>
      <c r="E10" s="3">
        <f>IF(OR($B10="",E$3=""),"",IF('Mass Ion Calculations'!$D$6="Yes",IF('Mass Ion Calculations'!$D$7="Yes",('Mass Ion Calculations'!$D$18+'AA Exact Masses'!$Q$2+'AA Exact Masses'!$Q$2-'Mass Ion Calculations'!$C$7-'Mass Ion Calculations'!$C11)/2-'Mass Ion Calculations'!$D$5,('Mass Ion Calculations'!$F$18+'AA Exact Masses'!$Q$2+'AA Exact Masses'!$Q$2-'Mass Ion Calculations'!$E$7-'Mass Ion Calculations'!$E11)/2-'Mass Ion Calculations'!$D$5),IF('Mass Ion Calculations'!$D$7="Yes", ('Mass Ion Calculations'!$D$15+'AA Exact Masses'!$Q$2+'AA Exact Masses'!$Q$2-'Mass Ion Calculations'!$C$7-'Mass Ion Calculations'!$C11)/2-'Mass Ion Calculations'!$D$5,('Mass Ion Calculations'!$F$15+'AA Exact Masses'!$Q$2+'AA Exact Masses'!$Q$2-'Mass Ion Calculations'!$E$7-'Mass Ion Calculations'!$E11)/2-'Mass Ion Calculations'!$D$5)))</f>
        <v>-424.61119499999995</v>
      </c>
      <c r="F10" s="3">
        <f>IF(OR($B10="",F$3=""),"",IF('Mass Ion Calculations'!$D$6="Yes",IF('Mass Ion Calculations'!$D$7="Yes",('Mass Ion Calculations'!$D$18+'AA Exact Masses'!$Q$2+'AA Exact Masses'!$Q$2-'Mass Ion Calculations'!$C$8-'Mass Ion Calculations'!$C11)/2-'Mass Ion Calculations'!$D$5,('Mass Ion Calculations'!$F$18+'AA Exact Masses'!$Q$2+'AA Exact Masses'!$Q$2-'Mass Ion Calculations'!$E$8-'Mass Ion Calculations'!$E11)/2-'Mass Ion Calculations'!$D$5),IF('Mass Ion Calculations'!$D$7="Yes", ('Mass Ion Calculations'!$D$15+'AA Exact Masses'!$Q$2+'AA Exact Masses'!$Q$2-'Mass Ion Calculations'!$C$8-'Mass Ion Calculations'!$C11)/2-'Mass Ion Calculations'!$D$5,('Mass Ion Calculations'!$F$15+'AA Exact Masses'!$Q$2+'AA Exact Masses'!$Q$2-'Mass Ion Calculations'!$E$8-'Mass Ion Calculations'!$E11)/2-'Mass Ion Calculations'!$D$5)))</f>
        <v>-424.61119499999995</v>
      </c>
      <c r="G10" s="3">
        <f>IF(OR($B10="",G$3=""),"",IF('Mass Ion Calculations'!$D$6="Yes",IF('Mass Ion Calculations'!$D$7="Yes",('Mass Ion Calculations'!$D$18+'AA Exact Masses'!$Q$2+'AA Exact Masses'!$Q$2-'Mass Ion Calculations'!$C$9-'Mass Ion Calculations'!$C11)/2-'Mass Ion Calculations'!$D$5,('Mass Ion Calculations'!$F$18+'AA Exact Masses'!$Q$2+'AA Exact Masses'!$Q$2-'Mass Ion Calculations'!$E$9-'Mass Ion Calculations'!$E11)/2-'Mass Ion Calculations'!$D$5),IF('Mass Ion Calculations'!$D$7="Yes", ('Mass Ion Calculations'!$D$15+'AA Exact Masses'!$Q$2+'AA Exact Masses'!$Q$2-'Mass Ion Calculations'!$C$9-'Mass Ion Calculations'!$C11)/2-'Mass Ion Calculations'!$D$5,('Mass Ion Calculations'!$F$15+'AA Exact Masses'!$Q$2+'AA Exact Masses'!$Q$2-'Mass Ion Calculations'!$E$9-'Mass Ion Calculations'!$E11)/2-'Mass Ion Calculations'!$D$5)))</f>
        <v>-403.58771999999999</v>
      </c>
      <c r="H10" s="3">
        <f>IF(OR($B10="",H$3=""),"",IF('Mass Ion Calculations'!$D$6="Yes",IF('Mass Ion Calculations'!$D$7="Yes",('Mass Ion Calculations'!$D$18+'AA Exact Masses'!$Q$2+'AA Exact Masses'!$Q$2-'Mass Ion Calculations'!$C$10-'Mass Ion Calculations'!$C11)/2-'Mass Ion Calculations'!$D$5,('Mass Ion Calculations'!$F$18+'AA Exact Masses'!$Q$2+'AA Exact Masses'!$Q$2-'Mass Ion Calculations'!$E$10-'Mass Ion Calculations'!$E11)/2-'Mass Ion Calculations'!$D$5),IF('Mass Ion Calculations'!$D$7="Yes", ('Mass Ion Calculations'!$D$15+'AA Exact Masses'!$Q$2+'AA Exact Masses'!$Q$2-'Mass Ion Calculations'!$C$10-'Mass Ion Calculations'!$C11)/2-'Mass Ion Calculations'!$D$5,('Mass Ion Calculations'!$F$15+'AA Exact Masses'!$Q$2+'AA Exact Masses'!$Q$2-'Mass Ion Calculations'!$E$10-'Mass Ion Calculations'!$E11)/2-'Mass Ion Calculations'!$D$5)))</f>
        <v>-424.61119499999995</v>
      </c>
      <c r="I10" s="3">
        <f>IF(OR($B10="",I$3=""),"",IF('Mass Ion Calculations'!$D$6="Yes",IF('Mass Ion Calculations'!$D$7="Yes",('Mass Ion Calculations'!$D$18+'AA Exact Masses'!$Q$2+'AA Exact Masses'!$Q$2-'Mass Ion Calculations'!$C$11-'Mass Ion Calculations'!$C11)/2-'Mass Ion Calculations'!$D$5,('Mass Ion Calculations'!$F$18+'AA Exact Masses'!$Q$2+'AA Exact Masses'!$Q$2-'Mass Ion Calculations'!$E$11-'Mass Ion Calculations'!$E11)/2-'Mass Ion Calculations'!$D$5),IF('Mass Ion Calculations'!$D$7="Yes", ('Mass Ion Calculations'!$D$15+'AA Exact Masses'!$Q$2+'AA Exact Masses'!$Q$2-'Mass Ion Calculations'!$C$11-'Mass Ion Calculations'!$C11)/2-'Mass Ion Calculations'!$D$5,('Mass Ion Calculations'!$F$15+'AA Exact Masses'!$Q$2+'AA Exact Masses'!$Q$2-'Mass Ion Calculations'!$E$11-'Mass Ion Calculations'!$E11)/2-'Mass Ion Calculations'!$D$5)))</f>
        <v>-425.10882500000002</v>
      </c>
      <c r="J10" s="3">
        <f>IF(OR($B10="",J$3=""),"",IF('Mass Ion Calculations'!$D$6="Yes",IF('Mass Ion Calculations'!$D$7="Yes",('Mass Ion Calculations'!$D$18+'AA Exact Masses'!$Q$2+'AA Exact Masses'!$Q$2-'Mass Ion Calculations'!$C$12-'Mass Ion Calculations'!$C11)/2-'Mass Ion Calculations'!$D$5,('Mass Ion Calculations'!$F$18+'AA Exact Masses'!$Q$2+'AA Exact Masses'!$Q$2-'Mass Ion Calculations'!$E$12-'Mass Ion Calculations'!$E11)/2-'Mass Ion Calculations'!$D$5),IF('Mass Ion Calculations'!$D$7="Yes", ('Mass Ion Calculations'!$D$15+'AA Exact Masses'!$Q$2+'AA Exact Masses'!$Q$2-'Mass Ion Calculations'!$C$12-'Mass Ion Calculations'!$C11)/2-'Mass Ion Calculations'!$D$5,('Mass Ion Calculations'!$F$15+'AA Exact Masses'!$Q$2+'AA Exact Masses'!$Q$2-'Mass Ion Calculations'!$E$12-'Mass Ion Calculations'!$E11)/2-'Mass Ion Calculations'!$D$5)))</f>
        <v>-417.60337000000004</v>
      </c>
      <c r="K10" s="3">
        <f>IF(OR($B10="",K$3=""),"",IF('Mass Ion Calculations'!$D$6="Yes",IF('Mass Ion Calculations'!$D$7="Yes",('Mass Ion Calculations'!$D$18+'AA Exact Masses'!$Q$2+'AA Exact Masses'!$Q$2-'Mass Ion Calculations'!$C$13-'Mass Ion Calculations'!$C11)/2-'Mass Ion Calculations'!$D$5,('Mass Ion Calculations'!$F$18+'AA Exact Masses'!$Q$2+'AA Exact Masses'!$Q$2-'Mass Ion Calculations'!$E$13-'Mass Ion Calculations'!$E11)/2-'Mass Ion Calculations'!$D$5),IF('Mass Ion Calculations'!$D$7="Yes", ('Mass Ion Calculations'!$D$15+'AA Exact Masses'!$Q$2+'AA Exact Masses'!$Q$2-'Mass Ion Calculations'!$C$13-'Mass Ion Calculations'!$C11)/2-'Mass Ion Calculations'!$D$5,('Mass Ion Calculations'!$F$15+'AA Exact Masses'!$Q$2+'AA Exact Masses'!$Q$2-'Mass Ion Calculations'!$E$13-'Mass Ion Calculations'!$E11)/2-'Mass Ion Calculations'!$D$5)))</f>
        <v>-425.10882500000002</v>
      </c>
      <c r="L10" s="3">
        <f>IF(OR($B10="",L$3=""),"",IF('Mass Ion Calculations'!$D$6="Yes",IF('Mass Ion Calculations'!$D$7="Yes",('Mass Ion Calculations'!$D$18+'AA Exact Masses'!$Q$2+'AA Exact Masses'!$Q$2-'Mass Ion Calculations'!$C$14-'Mass Ion Calculations'!$C11)/2-'Mass Ion Calculations'!$D$5,('Mass Ion Calculations'!$F$18+'AA Exact Masses'!$Q$2+'AA Exact Masses'!$Q$2-'Mass Ion Calculations'!$E$14-'Mass Ion Calculations'!$E11)/2-'Mass Ion Calculations'!$D$5),IF('Mass Ion Calculations'!$D$7="Yes", ('Mass Ion Calculations'!$D$15+'AA Exact Masses'!$Q$2+'AA Exact Masses'!$Q$2-'Mass Ion Calculations'!$C$14-'Mass Ion Calculations'!$C11)/2-'Mass Ion Calculations'!$D$5,('Mass Ion Calculations'!$F$15+'AA Exact Masses'!$Q$2+'AA Exact Masses'!$Q$2-'Mass Ion Calculations'!$E$14-'Mass Ion Calculations'!$E11)/2-'Mass Ion Calculations'!$D$5)))</f>
        <v>-432.59046000000001</v>
      </c>
      <c r="M10" s="3">
        <f>IF(OR($B10="",M$3=""),"",IF('Mass Ion Calculations'!$D$6="Yes",IF('Mass Ion Calculations'!$D$7="Yes",('Mass Ion Calculations'!$D$18+'AA Exact Masses'!$Q$2+'AA Exact Masses'!$Q$2-'Mass Ion Calculations'!$C$15-'Mass Ion Calculations'!$C11)/2-'Mass Ion Calculations'!$D$5,('Mass Ion Calculations'!$F$18+'AA Exact Masses'!$Q$2+'AA Exact Masses'!$Q$2-'Mass Ion Calculations'!$E$15-'Mass Ion Calculations'!$E11)/2-'Mass Ion Calculations'!$D$5),IF('Mass Ion Calculations'!$D$7="Yes", ('Mass Ion Calculations'!$D$15+'AA Exact Masses'!$Q$2+'AA Exact Masses'!$Q$2-'Mass Ion Calculations'!$C$15-'Mass Ion Calculations'!$C11)/2-'Mass Ion Calculations'!$D$5,('Mass Ion Calculations'!$F$15+'AA Exact Masses'!$Q$2+'AA Exact Masses'!$Q$2-'Mass Ion Calculations'!$E$15-'Mass Ion Calculations'!$E11)/2-'Mass Ion Calculations'!$D$5)))</f>
        <v>-425.58263499999998</v>
      </c>
      <c r="N10" s="3">
        <f>IF(OR($B10="",N$3=""),"",IF('Mass Ion Calculations'!$D$6="Yes",IF('Mass Ion Calculations'!$D$7="Yes",('Mass Ion Calculations'!$D$18+'AA Exact Masses'!$Q$2+'AA Exact Masses'!$Q$2-'Mass Ion Calculations'!$C$16-'Mass Ion Calculations'!$C11)/2-'Mass Ion Calculations'!$D$5,('Mass Ion Calculations'!$F$18+'AA Exact Masses'!$Q$2+'AA Exact Masses'!$Q$2-'Mass Ion Calculations'!$E$16-'Mass Ion Calculations'!$E11)/2-'Mass Ion Calculations'!$D$5),IF('Mass Ion Calculations'!$D$7="Yes", ('Mass Ion Calculations'!$D$15+'AA Exact Masses'!$Q$2+'AA Exact Masses'!$Q$2-'Mass Ion Calculations'!$C$16-'Mass Ion Calculations'!$C11)/2-'Mass Ion Calculations'!$D$5,('Mass Ion Calculations'!$F$15+'AA Exact Masses'!$Q$2+'AA Exact Masses'!$Q$2-'Mass Ion Calculations'!$E$16-'Mass Ion Calculations'!$E11)/2-'Mass Ion Calculations'!$D$5)))</f>
        <v>-403.58771999999999</v>
      </c>
      <c r="O10" s="3">
        <f>IF(OR($B10="",O$3=""),"",IF('Mass Ion Calculations'!$D$6="Yes",IF('Mass Ion Calculations'!$D$7="Yes",('Mass Ion Calculations'!$D$18+'AA Exact Masses'!$Q$2+'AA Exact Masses'!$Q$2-'Mass Ion Calculations'!$C$17-'Mass Ion Calculations'!$C11)/2-'Mass Ion Calculations'!$D$5,('Mass Ion Calculations'!$F$18+'AA Exact Masses'!$Q$2+'AA Exact Masses'!$Q$2-'Mass Ion Calculations'!$E$17-'Mass Ion Calculations'!$E11)/2-'Mass Ion Calculations'!$D$5),IF('Mass Ion Calculations'!$D$7="Yes", ('Mass Ion Calculations'!$D$15+'AA Exact Masses'!$Q$2+'AA Exact Masses'!$Q$2-'Mass Ion Calculations'!$C$17-'Mass Ion Calculations'!$C11)/2-'Mass Ion Calculations'!$D$5,('Mass Ion Calculations'!$F$15+'AA Exact Masses'!$Q$2+'AA Exact Masses'!$Q$2-'Mass Ion Calculations'!$E$17-'Mass Ion Calculations'!$E11)/2-'Mass Ion Calculations'!$D$5)))</f>
        <v>-441.60337000000004</v>
      </c>
      <c r="P10" s="3">
        <f>IF(OR($B10="",P$3=""),"",IF('Mass Ion Calculations'!$D$6="Yes",IF('Mass Ion Calculations'!$D$7="Yes",('Mass Ion Calculations'!$D$18+'AA Exact Masses'!$Q$2+'AA Exact Masses'!$Q$2-'Mass Ion Calculations'!$C$18-'Mass Ion Calculations'!$C11)/2-'Mass Ion Calculations'!$D$5,('Mass Ion Calculations'!$F$18+'AA Exact Masses'!$Q$2+'AA Exact Masses'!$Q$2-'Mass Ion Calculations'!$E$18-'Mass Ion Calculations'!$E11)/2-'Mass Ion Calculations'!$D$5),IF('Mass Ion Calculations'!$D$7="Yes", ('Mass Ion Calculations'!$D$15+'AA Exact Masses'!$Q$2+'AA Exact Masses'!$Q$2-'Mass Ion Calculations'!$C$18-'Mass Ion Calculations'!$C11)/2-'Mass Ion Calculations'!$D$5,('Mass Ion Calculations'!$F$15+'AA Exact Masses'!$Q$2+'AA Exact Masses'!$Q$2-'Mass Ion Calculations'!$E$18-'Mass Ion Calculations'!$E11)/2-'Mass Ion Calculations'!$D$5)))</f>
        <v>-504.551695</v>
      </c>
      <c r="Q10" s="3">
        <f>IF(OR($B10="",Q$3=""),"",IF('Mass Ion Calculations'!$D$6="Yes",IF('Mass Ion Calculations'!$D$7="Yes",('Mass Ion Calculations'!$D$18+'AA Exact Masses'!$Q$2+'AA Exact Masses'!$Q$2-'Mass Ion Calculations'!$C$19-'Mass Ion Calculations'!$C11)/2-'Mass Ion Calculations'!$D$5,('Mass Ion Calculations'!$F$18+'AA Exact Masses'!$Q$2+'AA Exact Masses'!$Q$2-'Mass Ion Calculations'!$E$19-'Mass Ion Calculations'!$E11)/2-'Mass Ion Calculations'!$D$5),IF('Mass Ion Calculations'!$D$7="Yes", ('Mass Ion Calculations'!$D$15+'AA Exact Masses'!$Q$2+'AA Exact Masses'!$Q$2-'Mass Ion Calculations'!$C$19-'Mass Ion Calculations'!$C11)/2-'Mass Ion Calculations'!$D$5,('Mass Ion Calculations'!$F$15+'AA Exact Masses'!$Q$2+'AA Exact Masses'!$Q$2-'Mass Ion Calculations'!$E$19-'Mass Ion Calculations'!$E11)/2-'Mass Ion Calculations'!$D$5)))</f>
        <v>-417.60337000000004</v>
      </c>
      <c r="R10" s="3">
        <f>IF(OR($B10="",R$3=""),"",IF('Mass Ion Calculations'!$D$6="Yes",IF('Mass Ion Calculations'!$D$7="Yes",('Mass Ion Calculations'!$D$18+'AA Exact Masses'!$Q$2+'AA Exact Masses'!$Q$2-'Mass Ion Calculations'!$C$20-'Mass Ion Calculations'!$C11)/2-'Mass Ion Calculations'!$D$5,('Mass Ion Calculations'!$F$18+'AA Exact Masses'!$Q$2+'AA Exact Masses'!$Q$2-'Mass Ion Calculations'!$E$20-'Mass Ion Calculations'!$E11)/2-'Mass Ion Calculations'!$D$5),IF('Mass Ion Calculations'!$D$7="Yes", ('Mass Ion Calculations'!$D$15+'AA Exact Masses'!$Q$2+'AA Exact Masses'!$Q$2-'Mass Ion Calculations'!$C$20-'Mass Ion Calculations'!$C11)/2-'Mass Ion Calculations'!$D$5,('Mass Ion Calculations'!$F$15+'AA Exact Masses'!$Q$2+'AA Exact Masses'!$Q$2-'Mass Ion Calculations'!$E$20-'Mass Ion Calculations'!$E11)/2-'Mass Ion Calculations'!$D$5)))</f>
        <v>-424.61119499999995</v>
      </c>
      <c r="S10" s="3" t="str">
        <f>IF(OR($B10="",S$3=""),"",IF('Mass Ion Calculations'!$D$6="Yes",IF('Mass Ion Calculations'!$D$7="Yes",('Mass Ion Calculations'!$D$18+'AA Exact Masses'!$Q$2+'AA Exact Masses'!$Q$2-'Mass Ion Calculations'!$C$21-'Mass Ion Calculations'!$C11)/2-'Mass Ion Calculations'!$D$5,('Mass Ion Calculations'!$F$18+'AA Exact Masses'!$Q$2+'AA Exact Masses'!$Q$2-'Mass Ion Calculations'!$E$21-'Mass Ion Calculations'!$E11)/2-'Mass Ion Calculations'!$D$5),IF('Mass Ion Calculations'!$D$7="Yes", ('Mass Ion Calculations'!$D$15+'AA Exact Masses'!$Q$2+'AA Exact Masses'!$Q$2-'Mass Ion Calculations'!$C$21-'Mass Ion Calculations'!$C11)/2-'Mass Ion Calculations'!$D$5,('Mass Ion Calculations'!$F$15+'AA Exact Masses'!$Q$2+'AA Exact Masses'!$Q$2-'Mass Ion Calculations'!$E$21-'Mass Ion Calculations'!$E11)/2-'Mass Ion Calculations'!$D$5)))</f>
        <v/>
      </c>
      <c r="T10" s="3" t="e">
        <f>IF(OR($B10="",T$3=""),"",IF('Mass Ion Calculations'!$D$6="Yes",IF('Mass Ion Calculations'!$D$7="Yes",('Mass Ion Calculations'!$D$18+'AA Exact Masses'!$Q$2+'AA Exact Masses'!$Q$2-'Mass Ion Calculations'!$C$22-'Mass Ion Calculations'!$C11)/2-'Mass Ion Calculations'!$D$5,('Mass Ion Calculations'!$F$18+'AA Exact Masses'!$Q$2+'AA Exact Masses'!$Q$2-'Mass Ion Calculations'!$E$22-'Mass Ion Calculations'!$E11)/2-'Mass Ion Calculations'!$D$5),IF('Mass Ion Calculations'!$D$7="Yes", ('Mass Ion Calculations'!$D$15+'AA Exact Masses'!$Q$2+'AA Exact Masses'!$Q$2-'Mass Ion Calculations'!$C$22-'Mass Ion Calculations'!$C11)/2-'Mass Ion Calculations'!$D$5,('Mass Ion Calculations'!$F$15+'AA Exact Masses'!$Q$2+'AA Exact Masses'!$Q$2-'Mass Ion Calculations'!$E$22-'Mass Ion Calculations'!$E11)/2-'Mass Ion Calculations'!$D$5)))</f>
        <v>#VALUE!</v>
      </c>
      <c r="U10" s="3" t="e">
        <f>IF(OR($B10="",U$3=""),"",IF('Mass Ion Calculations'!$D$6="Yes",IF('Mass Ion Calculations'!$D$7="Yes",('Mass Ion Calculations'!$D$18+'AA Exact Masses'!$Q$2+'AA Exact Masses'!$Q$2-'Mass Ion Calculations'!$C$23-'Mass Ion Calculations'!$C11)/2-'Mass Ion Calculations'!$D$5,('Mass Ion Calculations'!$F$18+'AA Exact Masses'!$Q$2+'AA Exact Masses'!$Q$2-'Mass Ion Calculations'!$E$23-'Mass Ion Calculations'!$E11)/2-'Mass Ion Calculations'!$D$5),IF('Mass Ion Calculations'!$D$7="Yes", ('Mass Ion Calculations'!$D$15+'AA Exact Masses'!$Q$2+'AA Exact Masses'!$Q$2-'Mass Ion Calculations'!$C$23-'Mass Ion Calculations'!$C11)/2-'Mass Ion Calculations'!$D$5,('Mass Ion Calculations'!$F$15+'AA Exact Masses'!$Q$2+'AA Exact Masses'!$Q$2-'Mass Ion Calculations'!$E$23-'Mass Ion Calculations'!$E11)/2-'Mass Ion Calculations'!$D$5)))</f>
        <v>#VALUE!</v>
      </c>
      <c r="V10" s="3" t="str">
        <f>IF(OR($B10="",V$3=""),"",IF('Mass Ion Calculations'!$D$6="Yes",IF('Mass Ion Calculations'!$D$7="Yes",('Mass Ion Calculations'!$D$18+'AA Exact Masses'!$Q$2+'AA Exact Masses'!$Q$2-'Mass Ion Calculations'!$C$24-'Mass Ion Calculations'!$C11)/2-'Mass Ion Calculations'!$D$5,('Mass Ion Calculations'!$F$18+'AA Exact Masses'!$Q$2+'AA Exact Masses'!$Q$2-'Mass Ion Calculations'!$E$24-'Mass Ion Calculations'!$E11)/2-'Mass Ion Calculations'!$D$5),IF('Mass Ion Calculations'!$D$7="Yes", ('Mass Ion Calculations'!$D$15+'AA Exact Masses'!$Q$2+'AA Exact Masses'!$Q$2-'Mass Ion Calculations'!$C$24-'Mass Ion Calculations'!$C11)/2-'Mass Ion Calculations'!$D$5,('Mass Ion Calculations'!$F$15+'AA Exact Masses'!$Q$2+'AA Exact Masses'!$Q$2-'Mass Ion Calculations'!$E$24-'Mass Ion Calculations'!$E11)/2-'Mass Ion Calculations'!$D$5)))</f>
        <v/>
      </c>
      <c r="W10" s="3" t="str">
        <f>IF(OR($B10="",W$3=""),"",IF('Mass Ion Calculations'!$D$6="Yes",IF('Mass Ion Calculations'!$D$7="Yes",('Mass Ion Calculations'!$D$18+'AA Exact Masses'!$Q$2+'AA Exact Masses'!$Q$2-'Mass Ion Calculations'!$C$25-'Mass Ion Calculations'!$C11)/2-'Mass Ion Calculations'!$D$5,('Mass Ion Calculations'!$F$18+'AA Exact Masses'!$Q$2+'AA Exact Masses'!$Q$2-'Mass Ion Calculations'!$E$25-'Mass Ion Calculations'!$E11)/2-'Mass Ion Calculations'!$D$5),IF('Mass Ion Calculations'!$D$7="Yes", ('Mass Ion Calculations'!$D$15+'AA Exact Masses'!$Q$2+'AA Exact Masses'!$Q$2-'Mass Ion Calculations'!$C$25-'Mass Ion Calculations'!$C11)/2-'Mass Ion Calculations'!$D$5,('Mass Ion Calculations'!$F$15+'AA Exact Masses'!$Q$2+'AA Exact Masses'!$Q$2-'Mass Ion Calculations'!$E$25-'Mass Ion Calculations'!$E11)/2-'Mass Ion Calculations'!$D$5)))</f>
        <v/>
      </c>
      <c r="X10" s="3" t="str">
        <f>IF(OR($B10="",X$3=""),"",IF('Mass Ion Calculations'!$D$6="Yes",IF('Mass Ion Calculations'!$D$7="Yes",('Mass Ion Calculations'!$D$18+'AA Exact Masses'!$Q$2+'AA Exact Masses'!$Q$2-'Mass Ion Calculations'!$C$26-'Mass Ion Calculations'!$C11)/2-'Mass Ion Calculations'!$D$5,('Mass Ion Calculations'!$F$18+'AA Exact Masses'!$Q$2+'AA Exact Masses'!$Q$2-'Mass Ion Calculations'!$E$26-'Mass Ion Calculations'!$E11)/2-'Mass Ion Calculations'!$D$5),IF('Mass Ion Calculations'!$D$7="Yes", ('Mass Ion Calculations'!$D$15+'AA Exact Masses'!$Q$2+'AA Exact Masses'!$Q$2-'Mass Ion Calculations'!$C$26-'Mass Ion Calculations'!$C11)/2-'Mass Ion Calculations'!$D$5,('Mass Ion Calculations'!$F$15+'AA Exact Masses'!$Q$2+'AA Exact Masses'!$Q$2-'Mass Ion Calculations'!$E$26-'Mass Ion Calculations'!$E11)/2-'Mass Ion Calculations'!$D$5)))</f>
        <v/>
      </c>
      <c r="Y10" s="3" t="str">
        <f>IF(OR($B10="",Y$3=""),"",IF('Mass Ion Calculations'!$D$6="Yes",IF('Mass Ion Calculations'!$D$7="Yes",('Mass Ion Calculations'!$D$18+'AA Exact Masses'!$Q$2+'AA Exact Masses'!$Q$2-'Mass Ion Calculations'!$C$27-'Mass Ion Calculations'!$C11)/2-'Mass Ion Calculations'!$D$5,('Mass Ion Calculations'!$F$18+'AA Exact Masses'!$Q$2+'AA Exact Masses'!$Q$2-'Mass Ion Calculations'!$E$27-'Mass Ion Calculations'!$E11)/2-'Mass Ion Calculations'!$D$5),IF('Mass Ion Calculations'!$D$7="Yes", ('Mass Ion Calculations'!$D$15+'AA Exact Masses'!$Q$2+'AA Exact Masses'!$Q$2-'Mass Ion Calculations'!$C$27-'Mass Ion Calculations'!$C11)/2-'Mass Ion Calculations'!$D$5,('Mass Ion Calculations'!$F$15+'AA Exact Masses'!$Q$2+'AA Exact Masses'!$Q$2-'Mass Ion Calculations'!$E$27-'Mass Ion Calculations'!$E11)/2-'Mass Ion Calculations'!$D$5)))</f>
        <v/>
      </c>
      <c r="Z10" s="3" t="str">
        <f>IF(OR($B10="",Z$3=""),"",IF('Mass Ion Calculations'!$D$6="Yes",IF('Mass Ion Calculations'!$D$7="Yes",('Mass Ion Calculations'!$D$18+'AA Exact Masses'!$Q$2+'AA Exact Masses'!$Q$2-'Mass Ion Calculations'!$C$28-'Mass Ion Calculations'!$C11)/2-'Mass Ion Calculations'!$D$5,('Mass Ion Calculations'!$F$18+'AA Exact Masses'!$Q$2+'AA Exact Masses'!$Q$2-'Mass Ion Calculations'!$E$28-'Mass Ion Calculations'!$E11)/2-'Mass Ion Calculations'!$D$5),IF('Mass Ion Calculations'!$D$7="Yes", ('Mass Ion Calculations'!$D$15+'AA Exact Masses'!$Q$2+'AA Exact Masses'!$Q$2-'Mass Ion Calculations'!$C$28-'Mass Ion Calculations'!$C11)/2-'Mass Ion Calculations'!$D$5,('Mass Ion Calculations'!$F$15+'AA Exact Masses'!$Q$2+'AA Exact Masses'!$Q$2-'Mass Ion Calculations'!$E$28-'Mass Ion Calculations'!$E11)/2-'Mass Ion Calculations'!$D$5)))</f>
        <v/>
      </c>
    </row>
    <row r="11" spans="2:26" x14ac:dyDescent="0.25">
      <c r="B11" s="4" t="str">
        <f>IF('Mass Ion Calculations'!B12="","", 'Mass Ion Calculations'!B12)</f>
        <v>Val</v>
      </c>
      <c r="C11" s="3">
        <f>IF(OR($B11="",C$3=""),"",IF('Mass Ion Calculations'!$D$6="Yes",IF('Mass Ion Calculations'!$D$7="Yes",('Mass Ion Calculations'!$D$18+'AA Exact Masses'!$Q$2+'AA Exact Masses'!$Q$2-'Mass Ion Calculations'!$C$5-'Mass Ion Calculations'!$C12)/2-'Mass Ion Calculations'!$D$5,('Mass Ion Calculations'!$F$18+'AA Exact Masses'!$Q$2+'AA Exact Masses'!$Q$2-'Mass Ion Calculations'!$E$5-'Mass Ion Calculations'!$E12)/2-'Mass Ion Calculations'!$D$5),IF('Mass Ion Calculations'!$D$7="Yes", ('Mass Ion Calculations'!$D$15+'AA Exact Masses'!$Q$2+'AA Exact Masses'!$Q$2-'Mass Ion Calculations'!$C$5-'Mass Ion Calculations'!$C12)/2-'Mass Ion Calculations'!$D$5,('Mass Ion Calculations'!$F$15+'AA Exact Masses'!$Q$2+'AA Exact Masses'!$Q$2-'Mass Ion Calculations'!$E$5-'Mass Ion Calculations'!$E12)/2-'Mass Ion Calculations'!$D$5)))</f>
        <v>-417.60337000000004</v>
      </c>
      <c r="D11" s="3">
        <f>IF(OR($B11="",D$3=""),"",IF('Mass Ion Calculations'!$D$6="Yes",IF('Mass Ion Calculations'!$D$7="Yes",('Mass Ion Calculations'!$D$18+'AA Exact Masses'!$Q$2+'AA Exact Masses'!$Q$2-'Mass Ion Calculations'!$C$6-'Mass Ion Calculations'!$C12)/2-'Mass Ion Calculations'!$D$5,('Mass Ion Calculations'!$F$18+'AA Exact Masses'!$Q$2+'AA Exact Masses'!$Q$2-'Mass Ion Calculations'!$E$6-'Mass Ion Calculations'!$E12)/2-'Mass Ion Calculations'!$D$5),IF('Mass Ion Calculations'!$D$7="Yes", ('Mass Ion Calculations'!$D$15+'AA Exact Masses'!$Q$2+'AA Exact Masses'!$Q$2-'Mass Ion Calculations'!$C$6-'Mass Ion Calculations'!$C12)/2-'Mass Ion Calculations'!$D$5,('Mass Ion Calculations'!$F$15+'AA Exact Masses'!$Q$2+'AA Exact Masses'!$Q$2-'Mass Ion Calculations'!$E$6-'Mass Ion Calculations'!$E12)/2-'Mass Ion Calculations'!$D$5)))</f>
        <v>-396.08226500000001</v>
      </c>
      <c r="E11" s="3">
        <f>IF(OR($B11="",E$3=""),"",IF('Mass Ion Calculations'!$D$6="Yes",IF('Mass Ion Calculations'!$D$7="Yes",('Mass Ion Calculations'!$D$18+'AA Exact Masses'!$Q$2+'AA Exact Masses'!$Q$2-'Mass Ion Calculations'!$C$7-'Mass Ion Calculations'!$C12)/2-'Mass Ion Calculations'!$D$5,('Mass Ion Calculations'!$F$18+'AA Exact Masses'!$Q$2+'AA Exact Masses'!$Q$2-'Mass Ion Calculations'!$E$7-'Mass Ion Calculations'!$E12)/2-'Mass Ion Calculations'!$D$5),IF('Mass Ion Calculations'!$D$7="Yes", ('Mass Ion Calculations'!$D$15+'AA Exact Masses'!$Q$2+'AA Exact Masses'!$Q$2-'Mass Ion Calculations'!$C$7-'Mass Ion Calculations'!$C12)/2-'Mass Ion Calculations'!$D$5,('Mass Ion Calculations'!$F$15+'AA Exact Masses'!$Q$2+'AA Exact Masses'!$Q$2-'Mass Ion Calculations'!$E$7-'Mass Ion Calculations'!$E12)/2-'Mass Ion Calculations'!$D$5)))</f>
        <v>-417.10573999999997</v>
      </c>
      <c r="F11" s="3">
        <f>IF(OR($B11="",F$3=""),"",IF('Mass Ion Calculations'!$D$6="Yes",IF('Mass Ion Calculations'!$D$7="Yes",('Mass Ion Calculations'!$D$18+'AA Exact Masses'!$Q$2+'AA Exact Masses'!$Q$2-'Mass Ion Calculations'!$C$8-'Mass Ion Calculations'!$C12)/2-'Mass Ion Calculations'!$D$5,('Mass Ion Calculations'!$F$18+'AA Exact Masses'!$Q$2+'AA Exact Masses'!$Q$2-'Mass Ion Calculations'!$E$8-'Mass Ion Calculations'!$E12)/2-'Mass Ion Calculations'!$D$5),IF('Mass Ion Calculations'!$D$7="Yes", ('Mass Ion Calculations'!$D$15+'AA Exact Masses'!$Q$2+'AA Exact Masses'!$Q$2-'Mass Ion Calculations'!$C$8-'Mass Ion Calculations'!$C12)/2-'Mass Ion Calculations'!$D$5,('Mass Ion Calculations'!$F$15+'AA Exact Masses'!$Q$2+'AA Exact Masses'!$Q$2-'Mass Ion Calculations'!$E$8-'Mass Ion Calculations'!$E12)/2-'Mass Ion Calculations'!$D$5)))</f>
        <v>-417.10573999999997</v>
      </c>
      <c r="G11" s="3">
        <f>IF(OR($B11="",G$3=""),"",IF('Mass Ion Calculations'!$D$6="Yes",IF('Mass Ion Calculations'!$D$7="Yes",('Mass Ion Calculations'!$D$18+'AA Exact Masses'!$Q$2+'AA Exact Masses'!$Q$2-'Mass Ion Calculations'!$C$9-'Mass Ion Calculations'!$C12)/2-'Mass Ion Calculations'!$D$5,('Mass Ion Calculations'!$F$18+'AA Exact Masses'!$Q$2+'AA Exact Masses'!$Q$2-'Mass Ion Calculations'!$E$9-'Mass Ion Calculations'!$E12)/2-'Mass Ion Calculations'!$D$5),IF('Mass Ion Calculations'!$D$7="Yes", ('Mass Ion Calculations'!$D$15+'AA Exact Masses'!$Q$2+'AA Exact Masses'!$Q$2-'Mass Ion Calculations'!$C$9-'Mass Ion Calculations'!$C12)/2-'Mass Ion Calculations'!$D$5,('Mass Ion Calculations'!$F$15+'AA Exact Masses'!$Q$2+'AA Exact Masses'!$Q$2-'Mass Ion Calculations'!$E$9-'Mass Ion Calculations'!$E12)/2-'Mass Ion Calculations'!$D$5)))</f>
        <v>-396.08226500000001</v>
      </c>
      <c r="H11" s="3">
        <f>IF(OR($B11="",H$3=""),"",IF('Mass Ion Calculations'!$D$6="Yes",IF('Mass Ion Calculations'!$D$7="Yes",('Mass Ion Calculations'!$D$18+'AA Exact Masses'!$Q$2+'AA Exact Masses'!$Q$2-'Mass Ion Calculations'!$C$10-'Mass Ion Calculations'!$C12)/2-'Mass Ion Calculations'!$D$5,('Mass Ion Calculations'!$F$18+'AA Exact Masses'!$Q$2+'AA Exact Masses'!$Q$2-'Mass Ion Calculations'!$E$10-'Mass Ion Calculations'!$E12)/2-'Mass Ion Calculations'!$D$5),IF('Mass Ion Calculations'!$D$7="Yes", ('Mass Ion Calculations'!$D$15+'AA Exact Masses'!$Q$2+'AA Exact Masses'!$Q$2-'Mass Ion Calculations'!$C$10-'Mass Ion Calculations'!$C12)/2-'Mass Ion Calculations'!$D$5,('Mass Ion Calculations'!$F$15+'AA Exact Masses'!$Q$2+'AA Exact Masses'!$Q$2-'Mass Ion Calculations'!$E$10-'Mass Ion Calculations'!$E12)/2-'Mass Ion Calculations'!$D$5)))</f>
        <v>-417.10573999999997</v>
      </c>
      <c r="I11" s="3">
        <f>IF(OR($B11="",I$3=""),"",IF('Mass Ion Calculations'!$D$6="Yes",IF('Mass Ion Calculations'!$D$7="Yes",('Mass Ion Calculations'!$D$18+'AA Exact Masses'!$Q$2+'AA Exact Masses'!$Q$2-'Mass Ion Calculations'!$C$11-'Mass Ion Calculations'!$C12)/2-'Mass Ion Calculations'!$D$5,('Mass Ion Calculations'!$F$18+'AA Exact Masses'!$Q$2+'AA Exact Masses'!$Q$2-'Mass Ion Calculations'!$E$11-'Mass Ion Calculations'!$E12)/2-'Mass Ion Calculations'!$D$5),IF('Mass Ion Calculations'!$D$7="Yes", ('Mass Ion Calculations'!$D$15+'AA Exact Masses'!$Q$2+'AA Exact Masses'!$Q$2-'Mass Ion Calculations'!$C$11-'Mass Ion Calculations'!$C12)/2-'Mass Ion Calculations'!$D$5,('Mass Ion Calculations'!$F$15+'AA Exact Masses'!$Q$2+'AA Exact Masses'!$Q$2-'Mass Ion Calculations'!$E$11-'Mass Ion Calculations'!$E12)/2-'Mass Ion Calculations'!$D$5)))</f>
        <v>-417.60337000000004</v>
      </c>
      <c r="J11" s="3">
        <f>IF(OR($B11="",J$3=""),"",IF('Mass Ion Calculations'!$D$6="Yes",IF('Mass Ion Calculations'!$D$7="Yes",('Mass Ion Calculations'!$D$18+'AA Exact Masses'!$Q$2+'AA Exact Masses'!$Q$2-'Mass Ion Calculations'!$C$12-'Mass Ion Calculations'!$C12)/2-'Mass Ion Calculations'!$D$5,('Mass Ion Calculations'!$F$18+'AA Exact Masses'!$Q$2+'AA Exact Masses'!$Q$2-'Mass Ion Calculations'!$E$12-'Mass Ion Calculations'!$E12)/2-'Mass Ion Calculations'!$D$5),IF('Mass Ion Calculations'!$D$7="Yes", ('Mass Ion Calculations'!$D$15+'AA Exact Masses'!$Q$2+'AA Exact Masses'!$Q$2-'Mass Ion Calculations'!$C$12-'Mass Ion Calculations'!$C12)/2-'Mass Ion Calculations'!$D$5,('Mass Ion Calculations'!$F$15+'AA Exact Masses'!$Q$2+'AA Exact Masses'!$Q$2-'Mass Ion Calculations'!$E$12-'Mass Ion Calculations'!$E12)/2-'Mass Ion Calculations'!$D$5)))</f>
        <v>-410.09791500000006</v>
      </c>
      <c r="K11" s="3">
        <f>IF(OR($B11="",K$3=""),"",IF('Mass Ion Calculations'!$D$6="Yes",IF('Mass Ion Calculations'!$D$7="Yes",('Mass Ion Calculations'!$D$18+'AA Exact Masses'!$Q$2+'AA Exact Masses'!$Q$2-'Mass Ion Calculations'!$C$13-'Mass Ion Calculations'!$C12)/2-'Mass Ion Calculations'!$D$5,('Mass Ion Calculations'!$F$18+'AA Exact Masses'!$Q$2+'AA Exact Masses'!$Q$2-'Mass Ion Calculations'!$E$13-'Mass Ion Calculations'!$E12)/2-'Mass Ion Calculations'!$D$5),IF('Mass Ion Calculations'!$D$7="Yes", ('Mass Ion Calculations'!$D$15+'AA Exact Masses'!$Q$2+'AA Exact Masses'!$Q$2-'Mass Ion Calculations'!$C$13-'Mass Ion Calculations'!$C12)/2-'Mass Ion Calculations'!$D$5,('Mass Ion Calculations'!$F$15+'AA Exact Masses'!$Q$2+'AA Exact Masses'!$Q$2-'Mass Ion Calculations'!$E$13-'Mass Ion Calculations'!$E12)/2-'Mass Ion Calculations'!$D$5)))</f>
        <v>-417.60337000000004</v>
      </c>
      <c r="L11" s="3">
        <f>IF(OR($B11="",L$3=""),"",IF('Mass Ion Calculations'!$D$6="Yes",IF('Mass Ion Calculations'!$D$7="Yes",('Mass Ion Calculations'!$D$18+'AA Exact Masses'!$Q$2+'AA Exact Masses'!$Q$2-'Mass Ion Calculations'!$C$14-'Mass Ion Calculations'!$C12)/2-'Mass Ion Calculations'!$D$5,('Mass Ion Calculations'!$F$18+'AA Exact Masses'!$Q$2+'AA Exact Masses'!$Q$2-'Mass Ion Calculations'!$E$14-'Mass Ion Calculations'!$E12)/2-'Mass Ion Calculations'!$D$5),IF('Mass Ion Calculations'!$D$7="Yes", ('Mass Ion Calculations'!$D$15+'AA Exact Masses'!$Q$2+'AA Exact Masses'!$Q$2-'Mass Ion Calculations'!$C$14-'Mass Ion Calculations'!$C12)/2-'Mass Ion Calculations'!$D$5,('Mass Ion Calculations'!$F$15+'AA Exact Masses'!$Q$2+'AA Exact Masses'!$Q$2-'Mass Ion Calculations'!$E$14-'Mass Ion Calculations'!$E12)/2-'Mass Ion Calculations'!$D$5)))</f>
        <v>-425.08500500000002</v>
      </c>
      <c r="M11" s="3">
        <f>IF(OR($B11="",M$3=""),"",IF('Mass Ion Calculations'!$D$6="Yes",IF('Mass Ion Calculations'!$D$7="Yes",('Mass Ion Calculations'!$D$18+'AA Exact Masses'!$Q$2+'AA Exact Masses'!$Q$2-'Mass Ion Calculations'!$C$15-'Mass Ion Calculations'!$C12)/2-'Mass Ion Calculations'!$D$5,('Mass Ion Calculations'!$F$18+'AA Exact Masses'!$Q$2+'AA Exact Masses'!$Q$2-'Mass Ion Calculations'!$E$15-'Mass Ion Calculations'!$E12)/2-'Mass Ion Calculations'!$D$5),IF('Mass Ion Calculations'!$D$7="Yes", ('Mass Ion Calculations'!$D$15+'AA Exact Masses'!$Q$2+'AA Exact Masses'!$Q$2-'Mass Ion Calculations'!$C$15-'Mass Ion Calculations'!$C12)/2-'Mass Ion Calculations'!$D$5,('Mass Ion Calculations'!$F$15+'AA Exact Masses'!$Q$2+'AA Exact Masses'!$Q$2-'Mass Ion Calculations'!$E$15-'Mass Ion Calculations'!$E12)/2-'Mass Ion Calculations'!$D$5)))</f>
        <v>-418.07718</v>
      </c>
      <c r="N11" s="3">
        <f>IF(OR($B11="",N$3=""),"",IF('Mass Ion Calculations'!$D$6="Yes",IF('Mass Ion Calculations'!$D$7="Yes",('Mass Ion Calculations'!$D$18+'AA Exact Masses'!$Q$2+'AA Exact Masses'!$Q$2-'Mass Ion Calculations'!$C$16-'Mass Ion Calculations'!$C12)/2-'Mass Ion Calculations'!$D$5,('Mass Ion Calculations'!$F$18+'AA Exact Masses'!$Q$2+'AA Exact Masses'!$Q$2-'Mass Ion Calculations'!$E$16-'Mass Ion Calculations'!$E12)/2-'Mass Ion Calculations'!$D$5),IF('Mass Ion Calculations'!$D$7="Yes", ('Mass Ion Calculations'!$D$15+'AA Exact Masses'!$Q$2+'AA Exact Masses'!$Q$2-'Mass Ion Calculations'!$C$16-'Mass Ion Calculations'!$C12)/2-'Mass Ion Calculations'!$D$5,('Mass Ion Calculations'!$F$15+'AA Exact Masses'!$Q$2+'AA Exact Masses'!$Q$2-'Mass Ion Calculations'!$E$16-'Mass Ion Calculations'!$E12)/2-'Mass Ion Calculations'!$D$5)))</f>
        <v>-396.08226500000001</v>
      </c>
      <c r="O11" s="3">
        <f>IF(OR($B11="",O$3=""),"",IF('Mass Ion Calculations'!$D$6="Yes",IF('Mass Ion Calculations'!$D$7="Yes",('Mass Ion Calculations'!$D$18+'AA Exact Masses'!$Q$2+'AA Exact Masses'!$Q$2-'Mass Ion Calculations'!$C$17-'Mass Ion Calculations'!$C12)/2-'Mass Ion Calculations'!$D$5,('Mass Ion Calculations'!$F$18+'AA Exact Masses'!$Q$2+'AA Exact Masses'!$Q$2-'Mass Ion Calculations'!$E$17-'Mass Ion Calculations'!$E12)/2-'Mass Ion Calculations'!$D$5),IF('Mass Ion Calculations'!$D$7="Yes", ('Mass Ion Calculations'!$D$15+'AA Exact Masses'!$Q$2+'AA Exact Masses'!$Q$2-'Mass Ion Calculations'!$C$17-'Mass Ion Calculations'!$C12)/2-'Mass Ion Calculations'!$D$5,('Mass Ion Calculations'!$F$15+'AA Exact Masses'!$Q$2+'AA Exact Masses'!$Q$2-'Mass Ion Calculations'!$E$17-'Mass Ion Calculations'!$E12)/2-'Mass Ion Calculations'!$D$5)))</f>
        <v>-434.09791500000006</v>
      </c>
      <c r="P11" s="3">
        <f>IF(OR($B11="",P$3=""),"",IF('Mass Ion Calculations'!$D$6="Yes",IF('Mass Ion Calculations'!$D$7="Yes",('Mass Ion Calculations'!$D$18+'AA Exact Masses'!$Q$2+'AA Exact Masses'!$Q$2-'Mass Ion Calculations'!$C$18-'Mass Ion Calculations'!$C12)/2-'Mass Ion Calculations'!$D$5,('Mass Ion Calculations'!$F$18+'AA Exact Masses'!$Q$2+'AA Exact Masses'!$Q$2-'Mass Ion Calculations'!$E$18-'Mass Ion Calculations'!$E12)/2-'Mass Ion Calculations'!$D$5),IF('Mass Ion Calculations'!$D$7="Yes", ('Mass Ion Calculations'!$D$15+'AA Exact Masses'!$Q$2+'AA Exact Masses'!$Q$2-'Mass Ion Calculations'!$C$18-'Mass Ion Calculations'!$C12)/2-'Mass Ion Calculations'!$D$5,('Mass Ion Calculations'!$F$15+'AA Exact Masses'!$Q$2+'AA Exact Masses'!$Q$2-'Mass Ion Calculations'!$E$18-'Mass Ion Calculations'!$E12)/2-'Mass Ion Calculations'!$D$5)))</f>
        <v>-497.04624000000001</v>
      </c>
      <c r="Q11" s="3">
        <f>IF(OR($B11="",Q$3=""),"",IF('Mass Ion Calculations'!$D$6="Yes",IF('Mass Ion Calculations'!$D$7="Yes",('Mass Ion Calculations'!$D$18+'AA Exact Masses'!$Q$2+'AA Exact Masses'!$Q$2-'Mass Ion Calculations'!$C$19-'Mass Ion Calculations'!$C12)/2-'Mass Ion Calculations'!$D$5,('Mass Ion Calculations'!$F$18+'AA Exact Masses'!$Q$2+'AA Exact Masses'!$Q$2-'Mass Ion Calculations'!$E$19-'Mass Ion Calculations'!$E12)/2-'Mass Ion Calculations'!$D$5),IF('Mass Ion Calculations'!$D$7="Yes", ('Mass Ion Calculations'!$D$15+'AA Exact Masses'!$Q$2+'AA Exact Masses'!$Q$2-'Mass Ion Calculations'!$C$19-'Mass Ion Calculations'!$C12)/2-'Mass Ion Calculations'!$D$5,('Mass Ion Calculations'!$F$15+'AA Exact Masses'!$Q$2+'AA Exact Masses'!$Q$2-'Mass Ion Calculations'!$E$19-'Mass Ion Calculations'!$E12)/2-'Mass Ion Calculations'!$D$5)))</f>
        <v>-410.09791500000006</v>
      </c>
      <c r="R11" s="3">
        <f>IF(OR($B11="",R$3=""),"",IF('Mass Ion Calculations'!$D$6="Yes",IF('Mass Ion Calculations'!$D$7="Yes",('Mass Ion Calculations'!$D$18+'AA Exact Masses'!$Q$2+'AA Exact Masses'!$Q$2-'Mass Ion Calculations'!$C$20-'Mass Ion Calculations'!$C12)/2-'Mass Ion Calculations'!$D$5,('Mass Ion Calculations'!$F$18+'AA Exact Masses'!$Q$2+'AA Exact Masses'!$Q$2-'Mass Ion Calculations'!$E$20-'Mass Ion Calculations'!$E12)/2-'Mass Ion Calculations'!$D$5),IF('Mass Ion Calculations'!$D$7="Yes", ('Mass Ion Calculations'!$D$15+'AA Exact Masses'!$Q$2+'AA Exact Masses'!$Q$2-'Mass Ion Calculations'!$C$20-'Mass Ion Calculations'!$C12)/2-'Mass Ion Calculations'!$D$5,('Mass Ion Calculations'!$F$15+'AA Exact Masses'!$Q$2+'AA Exact Masses'!$Q$2-'Mass Ion Calculations'!$E$20-'Mass Ion Calculations'!$E12)/2-'Mass Ion Calculations'!$D$5)))</f>
        <v>-417.10573999999997</v>
      </c>
      <c r="S11" s="3" t="str">
        <f>IF(OR($B11="",S$3=""),"",IF('Mass Ion Calculations'!$D$6="Yes",IF('Mass Ion Calculations'!$D$7="Yes",('Mass Ion Calculations'!$D$18+'AA Exact Masses'!$Q$2+'AA Exact Masses'!$Q$2-'Mass Ion Calculations'!$C$21-'Mass Ion Calculations'!$C12)/2-'Mass Ion Calculations'!$D$5,('Mass Ion Calculations'!$F$18+'AA Exact Masses'!$Q$2+'AA Exact Masses'!$Q$2-'Mass Ion Calculations'!$E$21-'Mass Ion Calculations'!$E12)/2-'Mass Ion Calculations'!$D$5),IF('Mass Ion Calculations'!$D$7="Yes", ('Mass Ion Calculations'!$D$15+'AA Exact Masses'!$Q$2+'AA Exact Masses'!$Q$2-'Mass Ion Calculations'!$C$21-'Mass Ion Calculations'!$C12)/2-'Mass Ion Calculations'!$D$5,('Mass Ion Calculations'!$F$15+'AA Exact Masses'!$Q$2+'AA Exact Masses'!$Q$2-'Mass Ion Calculations'!$E$21-'Mass Ion Calculations'!$E12)/2-'Mass Ion Calculations'!$D$5)))</f>
        <v/>
      </c>
      <c r="T11" s="3" t="e">
        <f>IF(OR($B11="",T$3=""),"",IF('Mass Ion Calculations'!$D$6="Yes",IF('Mass Ion Calculations'!$D$7="Yes",('Mass Ion Calculations'!$D$18+'AA Exact Masses'!$Q$2+'AA Exact Masses'!$Q$2-'Mass Ion Calculations'!$C$22-'Mass Ion Calculations'!$C12)/2-'Mass Ion Calculations'!$D$5,('Mass Ion Calculations'!$F$18+'AA Exact Masses'!$Q$2+'AA Exact Masses'!$Q$2-'Mass Ion Calculations'!$E$22-'Mass Ion Calculations'!$E12)/2-'Mass Ion Calculations'!$D$5),IF('Mass Ion Calculations'!$D$7="Yes", ('Mass Ion Calculations'!$D$15+'AA Exact Masses'!$Q$2+'AA Exact Masses'!$Q$2-'Mass Ion Calculations'!$C$22-'Mass Ion Calculations'!$C12)/2-'Mass Ion Calculations'!$D$5,('Mass Ion Calculations'!$F$15+'AA Exact Masses'!$Q$2+'AA Exact Masses'!$Q$2-'Mass Ion Calculations'!$E$22-'Mass Ion Calculations'!$E12)/2-'Mass Ion Calculations'!$D$5)))</f>
        <v>#VALUE!</v>
      </c>
      <c r="U11" s="3" t="e">
        <f>IF(OR($B11="",U$3=""),"",IF('Mass Ion Calculations'!$D$6="Yes",IF('Mass Ion Calculations'!$D$7="Yes",('Mass Ion Calculations'!$D$18+'AA Exact Masses'!$Q$2+'AA Exact Masses'!$Q$2-'Mass Ion Calculations'!$C$23-'Mass Ion Calculations'!$C12)/2-'Mass Ion Calculations'!$D$5,('Mass Ion Calculations'!$F$18+'AA Exact Masses'!$Q$2+'AA Exact Masses'!$Q$2-'Mass Ion Calculations'!$E$23-'Mass Ion Calculations'!$E12)/2-'Mass Ion Calculations'!$D$5),IF('Mass Ion Calculations'!$D$7="Yes", ('Mass Ion Calculations'!$D$15+'AA Exact Masses'!$Q$2+'AA Exact Masses'!$Q$2-'Mass Ion Calculations'!$C$23-'Mass Ion Calculations'!$C12)/2-'Mass Ion Calculations'!$D$5,('Mass Ion Calculations'!$F$15+'AA Exact Masses'!$Q$2+'AA Exact Masses'!$Q$2-'Mass Ion Calculations'!$E$23-'Mass Ion Calculations'!$E12)/2-'Mass Ion Calculations'!$D$5)))</f>
        <v>#VALUE!</v>
      </c>
      <c r="V11" s="3" t="str">
        <f>IF(OR($B11="",V$3=""),"",IF('Mass Ion Calculations'!$D$6="Yes",IF('Mass Ion Calculations'!$D$7="Yes",('Mass Ion Calculations'!$D$18+'AA Exact Masses'!$Q$2+'AA Exact Masses'!$Q$2-'Mass Ion Calculations'!$C$24-'Mass Ion Calculations'!$C12)/2-'Mass Ion Calculations'!$D$5,('Mass Ion Calculations'!$F$18+'AA Exact Masses'!$Q$2+'AA Exact Masses'!$Q$2-'Mass Ion Calculations'!$E$24-'Mass Ion Calculations'!$E12)/2-'Mass Ion Calculations'!$D$5),IF('Mass Ion Calculations'!$D$7="Yes", ('Mass Ion Calculations'!$D$15+'AA Exact Masses'!$Q$2+'AA Exact Masses'!$Q$2-'Mass Ion Calculations'!$C$24-'Mass Ion Calculations'!$C12)/2-'Mass Ion Calculations'!$D$5,('Mass Ion Calculations'!$F$15+'AA Exact Masses'!$Q$2+'AA Exact Masses'!$Q$2-'Mass Ion Calculations'!$E$24-'Mass Ion Calculations'!$E12)/2-'Mass Ion Calculations'!$D$5)))</f>
        <v/>
      </c>
      <c r="W11" s="3" t="str">
        <f>IF(OR($B11="",W$3=""),"",IF('Mass Ion Calculations'!$D$6="Yes",IF('Mass Ion Calculations'!$D$7="Yes",('Mass Ion Calculations'!$D$18+'AA Exact Masses'!$Q$2+'AA Exact Masses'!$Q$2-'Mass Ion Calculations'!$C$25-'Mass Ion Calculations'!$C12)/2-'Mass Ion Calculations'!$D$5,('Mass Ion Calculations'!$F$18+'AA Exact Masses'!$Q$2+'AA Exact Masses'!$Q$2-'Mass Ion Calculations'!$E$25-'Mass Ion Calculations'!$E12)/2-'Mass Ion Calculations'!$D$5),IF('Mass Ion Calculations'!$D$7="Yes", ('Mass Ion Calculations'!$D$15+'AA Exact Masses'!$Q$2+'AA Exact Masses'!$Q$2-'Mass Ion Calculations'!$C$25-'Mass Ion Calculations'!$C12)/2-'Mass Ion Calculations'!$D$5,('Mass Ion Calculations'!$F$15+'AA Exact Masses'!$Q$2+'AA Exact Masses'!$Q$2-'Mass Ion Calculations'!$E$25-'Mass Ion Calculations'!$E12)/2-'Mass Ion Calculations'!$D$5)))</f>
        <v/>
      </c>
      <c r="X11" s="3" t="str">
        <f>IF(OR($B11="",X$3=""),"",IF('Mass Ion Calculations'!$D$6="Yes",IF('Mass Ion Calculations'!$D$7="Yes",('Mass Ion Calculations'!$D$18+'AA Exact Masses'!$Q$2+'AA Exact Masses'!$Q$2-'Mass Ion Calculations'!$C$26-'Mass Ion Calculations'!$C12)/2-'Mass Ion Calculations'!$D$5,('Mass Ion Calculations'!$F$18+'AA Exact Masses'!$Q$2+'AA Exact Masses'!$Q$2-'Mass Ion Calculations'!$E$26-'Mass Ion Calculations'!$E12)/2-'Mass Ion Calculations'!$D$5),IF('Mass Ion Calculations'!$D$7="Yes", ('Mass Ion Calculations'!$D$15+'AA Exact Masses'!$Q$2+'AA Exact Masses'!$Q$2-'Mass Ion Calculations'!$C$26-'Mass Ion Calculations'!$C12)/2-'Mass Ion Calculations'!$D$5,('Mass Ion Calculations'!$F$15+'AA Exact Masses'!$Q$2+'AA Exact Masses'!$Q$2-'Mass Ion Calculations'!$E$26-'Mass Ion Calculations'!$E12)/2-'Mass Ion Calculations'!$D$5)))</f>
        <v/>
      </c>
      <c r="Y11" s="3" t="str">
        <f>IF(OR($B11="",Y$3=""),"",IF('Mass Ion Calculations'!$D$6="Yes",IF('Mass Ion Calculations'!$D$7="Yes",('Mass Ion Calculations'!$D$18+'AA Exact Masses'!$Q$2+'AA Exact Masses'!$Q$2-'Mass Ion Calculations'!$C$27-'Mass Ion Calculations'!$C12)/2-'Mass Ion Calculations'!$D$5,('Mass Ion Calculations'!$F$18+'AA Exact Masses'!$Q$2+'AA Exact Masses'!$Q$2-'Mass Ion Calculations'!$E$27-'Mass Ion Calculations'!$E12)/2-'Mass Ion Calculations'!$D$5),IF('Mass Ion Calculations'!$D$7="Yes", ('Mass Ion Calculations'!$D$15+'AA Exact Masses'!$Q$2+'AA Exact Masses'!$Q$2-'Mass Ion Calculations'!$C$27-'Mass Ion Calculations'!$C12)/2-'Mass Ion Calculations'!$D$5,('Mass Ion Calculations'!$F$15+'AA Exact Masses'!$Q$2+'AA Exact Masses'!$Q$2-'Mass Ion Calculations'!$E$27-'Mass Ion Calculations'!$E12)/2-'Mass Ion Calculations'!$D$5)))</f>
        <v/>
      </c>
      <c r="Z11" s="3" t="str">
        <f>IF(OR($B11="",Z$3=""),"",IF('Mass Ion Calculations'!$D$6="Yes",IF('Mass Ion Calculations'!$D$7="Yes",('Mass Ion Calculations'!$D$18+'AA Exact Masses'!$Q$2+'AA Exact Masses'!$Q$2-'Mass Ion Calculations'!$C$28-'Mass Ion Calculations'!$C12)/2-'Mass Ion Calculations'!$D$5,('Mass Ion Calculations'!$F$18+'AA Exact Masses'!$Q$2+'AA Exact Masses'!$Q$2-'Mass Ion Calculations'!$E$28-'Mass Ion Calculations'!$E12)/2-'Mass Ion Calculations'!$D$5),IF('Mass Ion Calculations'!$D$7="Yes", ('Mass Ion Calculations'!$D$15+'AA Exact Masses'!$Q$2+'AA Exact Masses'!$Q$2-'Mass Ion Calculations'!$C$28-'Mass Ion Calculations'!$C12)/2-'Mass Ion Calculations'!$D$5,('Mass Ion Calculations'!$F$15+'AA Exact Masses'!$Q$2+'AA Exact Masses'!$Q$2-'Mass Ion Calculations'!$E$28-'Mass Ion Calculations'!$E12)/2-'Mass Ion Calculations'!$D$5)))</f>
        <v/>
      </c>
    </row>
    <row r="12" spans="2:26" x14ac:dyDescent="0.25">
      <c r="B12" s="4" t="str">
        <f>IF('Mass Ion Calculations'!B13="","", 'Mass Ion Calculations'!B13)</f>
        <v>Orn(Boc)</v>
      </c>
      <c r="C12" s="3">
        <f>IF(OR($B12="",C$3=""),"",IF('Mass Ion Calculations'!$D$6="Yes",IF('Mass Ion Calculations'!$D$7="Yes",('Mass Ion Calculations'!$D$18+'AA Exact Masses'!$Q$2+'AA Exact Masses'!$Q$2-'Mass Ion Calculations'!$C$5-'Mass Ion Calculations'!$C13)/2-'Mass Ion Calculations'!$D$5,('Mass Ion Calculations'!$F$18+'AA Exact Masses'!$Q$2+'AA Exact Masses'!$Q$2-'Mass Ion Calculations'!$E$5-'Mass Ion Calculations'!$E13)/2-'Mass Ion Calculations'!$D$5),IF('Mass Ion Calculations'!$D$7="Yes", ('Mass Ion Calculations'!$D$15+'AA Exact Masses'!$Q$2+'AA Exact Masses'!$Q$2-'Mass Ion Calculations'!$C$5-'Mass Ion Calculations'!$C13)/2-'Mass Ion Calculations'!$D$5,('Mass Ion Calculations'!$F$15+'AA Exact Masses'!$Q$2+'AA Exact Masses'!$Q$2-'Mass Ion Calculations'!$E$5-'Mass Ion Calculations'!$E13)/2-'Mass Ion Calculations'!$D$5)))</f>
        <v>-425.10882500000002</v>
      </c>
      <c r="D12" s="3">
        <f>IF(OR($B12="",D$3=""),"",IF('Mass Ion Calculations'!$D$6="Yes",IF('Mass Ion Calculations'!$D$7="Yes",('Mass Ion Calculations'!$D$18+'AA Exact Masses'!$Q$2+'AA Exact Masses'!$Q$2-'Mass Ion Calculations'!$C$6-'Mass Ion Calculations'!$C13)/2-'Mass Ion Calculations'!$D$5,('Mass Ion Calculations'!$F$18+'AA Exact Masses'!$Q$2+'AA Exact Masses'!$Q$2-'Mass Ion Calculations'!$E$6-'Mass Ion Calculations'!$E13)/2-'Mass Ion Calculations'!$D$5),IF('Mass Ion Calculations'!$D$7="Yes", ('Mass Ion Calculations'!$D$15+'AA Exact Masses'!$Q$2+'AA Exact Masses'!$Q$2-'Mass Ion Calculations'!$C$6-'Mass Ion Calculations'!$C13)/2-'Mass Ion Calculations'!$D$5,('Mass Ion Calculations'!$F$15+'AA Exact Masses'!$Q$2+'AA Exact Masses'!$Q$2-'Mass Ion Calculations'!$E$6-'Mass Ion Calculations'!$E13)/2-'Mass Ion Calculations'!$D$5)))</f>
        <v>-403.58771999999999</v>
      </c>
      <c r="E12" s="3">
        <f>IF(OR($B12="",E$3=""),"",IF('Mass Ion Calculations'!$D$6="Yes",IF('Mass Ion Calculations'!$D$7="Yes",('Mass Ion Calculations'!$D$18+'AA Exact Masses'!$Q$2+'AA Exact Masses'!$Q$2-'Mass Ion Calculations'!$C$7-'Mass Ion Calculations'!$C13)/2-'Mass Ion Calculations'!$D$5,('Mass Ion Calculations'!$F$18+'AA Exact Masses'!$Q$2+'AA Exact Masses'!$Q$2-'Mass Ion Calculations'!$E$7-'Mass Ion Calculations'!$E13)/2-'Mass Ion Calculations'!$D$5),IF('Mass Ion Calculations'!$D$7="Yes", ('Mass Ion Calculations'!$D$15+'AA Exact Masses'!$Q$2+'AA Exact Masses'!$Q$2-'Mass Ion Calculations'!$C$7-'Mass Ion Calculations'!$C13)/2-'Mass Ion Calculations'!$D$5,('Mass Ion Calculations'!$F$15+'AA Exact Masses'!$Q$2+'AA Exact Masses'!$Q$2-'Mass Ion Calculations'!$E$7-'Mass Ion Calculations'!$E13)/2-'Mass Ion Calculations'!$D$5)))</f>
        <v>-424.61119499999995</v>
      </c>
      <c r="F12" s="3">
        <f>IF(OR($B12="",F$3=""),"",IF('Mass Ion Calculations'!$D$6="Yes",IF('Mass Ion Calculations'!$D$7="Yes",('Mass Ion Calculations'!$D$18+'AA Exact Masses'!$Q$2+'AA Exact Masses'!$Q$2-'Mass Ion Calculations'!$C$8-'Mass Ion Calculations'!$C13)/2-'Mass Ion Calculations'!$D$5,('Mass Ion Calculations'!$F$18+'AA Exact Masses'!$Q$2+'AA Exact Masses'!$Q$2-'Mass Ion Calculations'!$E$8-'Mass Ion Calculations'!$E13)/2-'Mass Ion Calculations'!$D$5),IF('Mass Ion Calculations'!$D$7="Yes", ('Mass Ion Calculations'!$D$15+'AA Exact Masses'!$Q$2+'AA Exact Masses'!$Q$2-'Mass Ion Calculations'!$C$8-'Mass Ion Calculations'!$C13)/2-'Mass Ion Calculations'!$D$5,('Mass Ion Calculations'!$F$15+'AA Exact Masses'!$Q$2+'AA Exact Masses'!$Q$2-'Mass Ion Calculations'!$E$8-'Mass Ion Calculations'!$E13)/2-'Mass Ion Calculations'!$D$5)))</f>
        <v>-424.61119499999995</v>
      </c>
      <c r="G12" s="3">
        <f>IF(OR($B12="",G$3=""),"",IF('Mass Ion Calculations'!$D$6="Yes",IF('Mass Ion Calculations'!$D$7="Yes",('Mass Ion Calculations'!$D$18+'AA Exact Masses'!$Q$2+'AA Exact Masses'!$Q$2-'Mass Ion Calculations'!$C$9-'Mass Ion Calculations'!$C13)/2-'Mass Ion Calculations'!$D$5,('Mass Ion Calculations'!$F$18+'AA Exact Masses'!$Q$2+'AA Exact Masses'!$Q$2-'Mass Ion Calculations'!$E$9-'Mass Ion Calculations'!$E13)/2-'Mass Ion Calculations'!$D$5),IF('Mass Ion Calculations'!$D$7="Yes", ('Mass Ion Calculations'!$D$15+'AA Exact Masses'!$Q$2+'AA Exact Masses'!$Q$2-'Mass Ion Calculations'!$C$9-'Mass Ion Calculations'!$C13)/2-'Mass Ion Calculations'!$D$5,('Mass Ion Calculations'!$F$15+'AA Exact Masses'!$Q$2+'AA Exact Masses'!$Q$2-'Mass Ion Calculations'!$E$9-'Mass Ion Calculations'!$E13)/2-'Mass Ion Calculations'!$D$5)))</f>
        <v>-403.58771999999999</v>
      </c>
      <c r="H12" s="3">
        <f>IF(OR($B12="",H$3=""),"",IF('Mass Ion Calculations'!$D$6="Yes",IF('Mass Ion Calculations'!$D$7="Yes",('Mass Ion Calculations'!$D$18+'AA Exact Masses'!$Q$2+'AA Exact Masses'!$Q$2-'Mass Ion Calculations'!$C$10-'Mass Ion Calculations'!$C13)/2-'Mass Ion Calculations'!$D$5,('Mass Ion Calculations'!$F$18+'AA Exact Masses'!$Q$2+'AA Exact Masses'!$Q$2-'Mass Ion Calculations'!$E$10-'Mass Ion Calculations'!$E13)/2-'Mass Ion Calculations'!$D$5),IF('Mass Ion Calculations'!$D$7="Yes", ('Mass Ion Calculations'!$D$15+'AA Exact Masses'!$Q$2+'AA Exact Masses'!$Q$2-'Mass Ion Calculations'!$C$10-'Mass Ion Calculations'!$C13)/2-'Mass Ion Calculations'!$D$5,('Mass Ion Calculations'!$F$15+'AA Exact Masses'!$Q$2+'AA Exact Masses'!$Q$2-'Mass Ion Calculations'!$E$10-'Mass Ion Calculations'!$E13)/2-'Mass Ion Calculations'!$D$5)))</f>
        <v>-424.61119499999995</v>
      </c>
      <c r="I12" s="3">
        <f>IF(OR($B12="",I$3=""),"",IF('Mass Ion Calculations'!$D$6="Yes",IF('Mass Ion Calculations'!$D$7="Yes",('Mass Ion Calculations'!$D$18+'AA Exact Masses'!$Q$2+'AA Exact Masses'!$Q$2-'Mass Ion Calculations'!$C$11-'Mass Ion Calculations'!$C13)/2-'Mass Ion Calculations'!$D$5,('Mass Ion Calculations'!$F$18+'AA Exact Masses'!$Q$2+'AA Exact Masses'!$Q$2-'Mass Ion Calculations'!$E$11-'Mass Ion Calculations'!$E13)/2-'Mass Ion Calculations'!$D$5),IF('Mass Ion Calculations'!$D$7="Yes", ('Mass Ion Calculations'!$D$15+'AA Exact Masses'!$Q$2+'AA Exact Masses'!$Q$2-'Mass Ion Calculations'!$C$11-'Mass Ion Calculations'!$C13)/2-'Mass Ion Calculations'!$D$5,('Mass Ion Calculations'!$F$15+'AA Exact Masses'!$Q$2+'AA Exact Masses'!$Q$2-'Mass Ion Calculations'!$E$11-'Mass Ion Calculations'!$E13)/2-'Mass Ion Calculations'!$D$5)))</f>
        <v>-425.10882500000002</v>
      </c>
      <c r="J12" s="3">
        <f>IF(OR($B12="",J$3=""),"",IF('Mass Ion Calculations'!$D$6="Yes",IF('Mass Ion Calculations'!$D$7="Yes",('Mass Ion Calculations'!$D$18+'AA Exact Masses'!$Q$2+'AA Exact Masses'!$Q$2-'Mass Ion Calculations'!$C$12-'Mass Ion Calculations'!$C13)/2-'Mass Ion Calculations'!$D$5,('Mass Ion Calculations'!$F$18+'AA Exact Masses'!$Q$2+'AA Exact Masses'!$Q$2-'Mass Ion Calculations'!$E$12-'Mass Ion Calculations'!$E13)/2-'Mass Ion Calculations'!$D$5),IF('Mass Ion Calculations'!$D$7="Yes", ('Mass Ion Calculations'!$D$15+'AA Exact Masses'!$Q$2+'AA Exact Masses'!$Q$2-'Mass Ion Calculations'!$C$12-'Mass Ion Calculations'!$C13)/2-'Mass Ion Calculations'!$D$5,('Mass Ion Calculations'!$F$15+'AA Exact Masses'!$Q$2+'AA Exact Masses'!$Q$2-'Mass Ion Calculations'!$E$12-'Mass Ion Calculations'!$E13)/2-'Mass Ion Calculations'!$D$5)))</f>
        <v>-417.60337000000004</v>
      </c>
      <c r="K12" s="3">
        <f>IF(OR($B12="",K$3=""),"",IF('Mass Ion Calculations'!$D$6="Yes",IF('Mass Ion Calculations'!$D$7="Yes",('Mass Ion Calculations'!$D$18+'AA Exact Masses'!$Q$2+'AA Exact Masses'!$Q$2-'Mass Ion Calculations'!$C$13-'Mass Ion Calculations'!$C13)/2-'Mass Ion Calculations'!$D$5,('Mass Ion Calculations'!$F$18+'AA Exact Masses'!$Q$2+'AA Exact Masses'!$Q$2-'Mass Ion Calculations'!$E$13-'Mass Ion Calculations'!$E13)/2-'Mass Ion Calculations'!$D$5),IF('Mass Ion Calculations'!$D$7="Yes", ('Mass Ion Calculations'!$D$15+'AA Exact Masses'!$Q$2+'AA Exact Masses'!$Q$2-'Mass Ion Calculations'!$C$13-'Mass Ion Calculations'!$C13)/2-'Mass Ion Calculations'!$D$5,('Mass Ion Calculations'!$F$15+'AA Exact Masses'!$Q$2+'AA Exact Masses'!$Q$2-'Mass Ion Calculations'!$E$13-'Mass Ion Calculations'!$E13)/2-'Mass Ion Calculations'!$D$5)))</f>
        <v>-425.10882500000002</v>
      </c>
      <c r="L12" s="3">
        <f>IF(OR($B12="",L$3=""),"",IF('Mass Ion Calculations'!$D$6="Yes",IF('Mass Ion Calculations'!$D$7="Yes",('Mass Ion Calculations'!$D$18+'AA Exact Masses'!$Q$2+'AA Exact Masses'!$Q$2-'Mass Ion Calculations'!$C$14-'Mass Ion Calculations'!$C13)/2-'Mass Ion Calculations'!$D$5,('Mass Ion Calculations'!$F$18+'AA Exact Masses'!$Q$2+'AA Exact Masses'!$Q$2-'Mass Ion Calculations'!$E$14-'Mass Ion Calculations'!$E13)/2-'Mass Ion Calculations'!$D$5),IF('Mass Ion Calculations'!$D$7="Yes", ('Mass Ion Calculations'!$D$15+'AA Exact Masses'!$Q$2+'AA Exact Masses'!$Q$2-'Mass Ion Calculations'!$C$14-'Mass Ion Calculations'!$C13)/2-'Mass Ion Calculations'!$D$5,('Mass Ion Calculations'!$F$15+'AA Exact Masses'!$Q$2+'AA Exact Masses'!$Q$2-'Mass Ion Calculations'!$E$14-'Mass Ion Calculations'!$E13)/2-'Mass Ion Calculations'!$D$5)))</f>
        <v>-432.59046000000001</v>
      </c>
      <c r="M12" s="3">
        <f>IF(OR($B12="",M$3=""),"",IF('Mass Ion Calculations'!$D$6="Yes",IF('Mass Ion Calculations'!$D$7="Yes",('Mass Ion Calculations'!$D$18+'AA Exact Masses'!$Q$2+'AA Exact Masses'!$Q$2-'Mass Ion Calculations'!$C$15-'Mass Ion Calculations'!$C13)/2-'Mass Ion Calculations'!$D$5,('Mass Ion Calculations'!$F$18+'AA Exact Masses'!$Q$2+'AA Exact Masses'!$Q$2-'Mass Ion Calculations'!$E$15-'Mass Ion Calculations'!$E13)/2-'Mass Ion Calculations'!$D$5),IF('Mass Ion Calculations'!$D$7="Yes", ('Mass Ion Calculations'!$D$15+'AA Exact Masses'!$Q$2+'AA Exact Masses'!$Q$2-'Mass Ion Calculations'!$C$15-'Mass Ion Calculations'!$C13)/2-'Mass Ion Calculations'!$D$5,('Mass Ion Calculations'!$F$15+'AA Exact Masses'!$Q$2+'AA Exact Masses'!$Q$2-'Mass Ion Calculations'!$E$15-'Mass Ion Calculations'!$E13)/2-'Mass Ion Calculations'!$D$5)))</f>
        <v>-425.58263499999998</v>
      </c>
      <c r="N12" s="3">
        <f>IF(OR($B12="",N$3=""),"",IF('Mass Ion Calculations'!$D$6="Yes",IF('Mass Ion Calculations'!$D$7="Yes",('Mass Ion Calculations'!$D$18+'AA Exact Masses'!$Q$2+'AA Exact Masses'!$Q$2-'Mass Ion Calculations'!$C$16-'Mass Ion Calculations'!$C13)/2-'Mass Ion Calculations'!$D$5,('Mass Ion Calculations'!$F$18+'AA Exact Masses'!$Q$2+'AA Exact Masses'!$Q$2-'Mass Ion Calculations'!$E$16-'Mass Ion Calculations'!$E13)/2-'Mass Ion Calculations'!$D$5),IF('Mass Ion Calculations'!$D$7="Yes", ('Mass Ion Calculations'!$D$15+'AA Exact Masses'!$Q$2+'AA Exact Masses'!$Q$2-'Mass Ion Calculations'!$C$16-'Mass Ion Calculations'!$C13)/2-'Mass Ion Calculations'!$D$5,('Mass Ion Calculations'!$F$15+'AA Exact Masses'!$Q$2+'AA Exact Masses'!$Q$2-'Mass Ion Calculations'!$E$16-'Mass Ion Calculations'!$E13)/2-'Mass Ion Calculations'!$D$5)))</f>
        <v>-403.58771999999999</v>
      </c>
      <c r="O12" s="3">
        <f>IF(OR($B12="",O$3=""),"",IF('Mass Ion Calculations'!$D$6="Yes",IF('Mass Ion Calculations'!$D$7="Yes",('Mass Ion Calculations'!$D$18+'AA Exact Masses'!$Q$2+'AA Exact Masses'!$Q$2-'Mass Ion Calculations'!$C$17-'Mass Ion Calculations'!$C13)/2-'Mass Ion Calculations'!$D$5,('Mass Ion Calculations'!$F$18+'AA Exact Masses'!$Q$2+'AA Exact Masses'!$Q$2-'Mass Ion Calculations'!$E$17-'Mass Ion Calculations'!$E13)/2-'Mass Ion Calculations'!$D$5),IF('Mass Ion Calculations'!$D$7="Yes", ('Mass Ion Calculations'!$D$15+'AA Exact Masses'!$Q$2+'AA Exact Masses'!$Q$2-'Mass Ion Calculations'!$C$17-'Mass Ion Calculations'!$C13)/2-'Mass Ion Calculations'!$D$5,('Mass Ion Calculations'!$F$15+'AA Exact Masses'!$Q$2+'AA Exact Masses'!$Q$2-'Mass Ion Calculations'!$E$17-'Mass Ion Calculations'!$E13)/2-'Mass Ion Calculations'!$D$5)))</f>
        <v>-441.60337000000004</v>
      </c>
      <c r="P12" s="3">
        <f>IF(OR($B12="",P$3=""),"",IF('Mass Ion Calculations'!$D$6="Yes",IF('Mass Ion Calculations'!$D$7="Yes",('Mass Ion Calculations'!$D$18+'AA Exact Masses'!$Q$2+'AA Exact Masses'!$Q$2-'Mass Ion Calculations'!$C$18-'Mass Ion Calculations'!$C13)/2-'Mass Ion Calculations'!$D$5,('Mass Ion Calculations'!$F$18+'AA Exact Masses'!$Q$2+'AA Exact Masses'!$Q$2-'Mass Ion Calculations'!$E$18-'Mass Ion Calculations'!$E13)/2-'Mass Ion Calculations'!$D$5),IF('Mass Ion Calculations'!$D$7="Yes", ('Mass Ion Calculations'!$D$15+'AA Exact Masses'!$Q$2+'AA Exact Masses'!$Q$2-'Mass Ion Calculations'!$C$18-'Mass Ion Calculations'!$C13)/2-'Mass Ion Calculations'!$D$5,('Mass Ion Calculations'!$F$15+'AA Exact Masses'!$Q$2+'AA Exact Masses'!$Q$2-'Mass Ion Calculations'!$E$18-'Mass Ion Calculations'!$E13)/2-'Mass Ion Calculations'!$D$5)))</f>
        <v>-504.551695</v>
      </c>
      <c r="Q12" s="3">
        <f>IF(OR($B12="",Q$3=""),"",IF('Mass Ion Calculations'!$D$6="Yes",IF('Mass Ion Calculations'!$D$7="Yes",('Mass Ion Calculations'!$D$18+'AA Exact Masses'!$Q$2+'AA Exact Masses'!$Q$2-'Mass Ion Calculations'!$C$19-'Mass Ion Calculations'!$C13)/2-'Mass Ion Calculations'!$D$5,('Mass Ion Calculations'!$F$18+'AA Exact Masses'!$Q$2+'AA Exact Masses'!$Q$2-'Mass Ion Calculations'!$E$19-'Mass Ion Calculations'!$E13)/2-'Mass Ion Calculations'!$D$5),IF('Mass Ion Calculations'!$D$7="Yes", ('Mass Ion Calculations'!$D$15+'AA Exact Masses'!$Q$2+'AA Exact Masses'!$Q$2-'Mass Ion Calculations'!$C$19-'Mass Ion Calculations'!$C13)/2-'Mass Ion Calculations'!$D$5,('Mass Ion Calculations'!$F$15+'AA Exact Masses'!$Q$2+'AA Exact Masses'!$Q$2-'Mass Ion Calculations'!$E$19-'Mass Ion Calculations'!$E13)/2-'Mass Ion Calculations'!$D$5)))</f>
        <v>-417.60337000000004</v>
      </c>
      <c r="R12" s="3">
        <f>IF(OR($B12="",R$3=""),"",IF('Mass Ion Calculations'!$D$6="Yes",IF('Mass Ion Calculations'!$D$7="Yes",('Mass Ion Calculations'!$D$18+'AA Exact Masses'!$Q$2+'AA Exact Masses'!$Q$2-'Mass Ion Calculations'!$C$20-'Mass Ion Calculations'!$C13)/2-'Mass Ion Calculations'!$D$5,('Mass Ion Calculations'!$F$18+'AA Exact Masses'!$Q$2+'AA Exact Masses'!$Q$2-'Mass Ion Calculations'!$E$20-'Mass Ion Calculations'!$E13)/2-'Mass Ion Calculations'!$D$5),IF('Mass Ion Calculations'!$D$7="Yes", ('Mass Ion Calculations'!$D$15+'AA Exact Masses'!$Q$2+'AA Exact Masses'!$Q$2-'Mass Ion Calculations'!$C$20-'Mass Ion Calculations'!$C13)/2-'Mass Ion Calculations'!$D$5,('Mass Ion Calculations'!$F$15+'AA Exact Masses'!$Q$2+'AA Exact Masses'!$Q$2-'Mass Ion Calculations'!$E$20-'Mass Ion Calculations'!$E13)/2-'Mass Ion Calculations'!$D$5)))</f>
        <v>-424.61119499999995</v>
      </c>
      <c r="S12" s="3" t="str">
        <f>IF(OR($B12="",S$3=""),"",IF('Mass Ion Calculations'!$D$6="Yes",IF('Mass Ion Calculations'!$D$7="Yes",('Mass Ion Calculations'!$D$18+'AA Exact Masses'!$Q$2+'AA Exact Masses'!$Q$2-'Mass Ion Calculations'!$C$21-'Mass Ion Calculations'!$C13)/2-'Mass Ion Calculations'!$D$5,('Mass Ion Calculations'!$F$18+'AA Exact Masses'!$Q$2+'AA Exact Masses'!$Q$2-'Mass Ion Calculations'!$E$21-'Mass Ion Calculations'!$E13)/2-'Mass Ion Calculations'!$D$5),IF('Mass Ion Calculations'!$D$7="Yes", ('Mass Ion Calculations'!$D$15+'AA Exact Masses'!$Q$2+'AA Exact Masses'!$Q$2-'Mass Ion Calculations'!$C$21-'Mass Ion Calculations'!$C13)/2-'Mass Ion Calculations'!$D$5,('Mass Ion Calculations'!$F$15+'AA Exact Masses'!$Q$2+'AA Exact Masses'!$Q$2-'Mass Ion Calculations'!$E$21-'Mass Ion Calculations'!$E13)/2-'Mass Ion Calculations'!$D$5)))</f>
        <v/>
      </c>
      <c r="T12" s="3" t="e">
        <f>IF(OR($B12="",T$3=""),"",IF('Mass Ion Calculations'!$D$6="Yes",IF('Mass Ion Calculations'!$D$7="Yes",('Mass Ion Calculations'!$D$18+'AA Exact Masses'!$Q$2+'AA Exact Masses'!$Q$2-'Mass Ion Calculations'!$C$22-'Mass Ion Calculations'!$C13)/2-'Mass Ion Calculations'!$D$5,('Mass Ion Calculations'!$F$18+'AA Exact Masses'!$Q$2+'AA Exact Masses'!$Q$2-'Mass Ion Calculations'!$E$22-'Mass Ion Calculations'!$E13)/2-'Mass Ion Calculations'!$D$5),IF('Mass Ion Calculations'!$D$7="Yes", ('Mass Ion Calculations'!$D$15+'AA Exact Masses'!$Q$2+'AA Exact Masses'!$Q$2-'Mass Ion Calculations'!$C$22-'Mass Ion Calculations'!$C13)/2-'Mass Ion Calculations'!$D$5,('Mass Ion Calculations'!$F$15+'AA Exact Masses'!$Q$2+'AA Exact Masses'!$Q$2-'Mass Ion Calculations'!$E$22-'Mass Ion Calculations'!$E13)/2-'Mass Ion Calculations'!$D$5)))</f>
        <v>#VALUE!</v>
      </c>
      <c r="U12" s="3" t="e">
        <f>IF(OR($B12="",U$3=""),"",IF('Mass Ion Calculations'!$D$6="Yes",IF('Mass Ion Calculations'!$D$7="Yes",('Mass Ion Calculations'!$D$18+'AA Exact Masses'!$Q$2+'AA Exact Masses'!$Q$2-'Mass Ion Calculations'!$C$23-'Mass Ion Calculations'!$C13)/2-'Mass Ion Calculations'!$D$5,('Mass Ion Calculations'!$F$18+'AA Exact Masses'!$Q$2+'AA Exact Masses'!$Q$2-'Mass Ion Calculations'!$E$23-'Mass Ion Calculations'!$E13)/2-'Mass Ion Calculations'!$D$5),IF('Mass Ion Calculations'!$D$7="Yes", ('Mass Ion Calculations'!$D$15+'AA Exact Masses'!$Q$2+'AA Exact Masses'!$Q$2-'Mass Ion Calculations'!$C$23-'Mass Ion Calculations'!$C13)/2-'Mass Ion Calculations'!$D$5,('Mass Ion Calculations'!$F$15+'AA Exact Masses'!$Q$2+'AA Exact Masses'!$Q$2-'Mass Ion Calculations'!$E$23-'Mass Ion Calculations'!$E13)/2-'Mass Ion Calculations'!$D$5)))</f>
        <v>#VALUE!</v>
      </c>
      <c r="V12" s="3" t="str">
        <f>IF(OR($B12="",V$3=""),"",IF('Mass Ion Calculations'!$D$6="Yes",IF('Mass Ion Calculations'!$D$7="Yes",('Mass Ion Calculations'!$D$18+'AA Exact Masses'!$Q$2+'AA Exact Masses'!$Q$2-'Mass Ion Calculations'!$C$24-'Mass Ion Calculations'!$C13)/2-'Mass Ion Calculations'!$D$5,('Mass Ion Calculations'!$F$18+'AA Exact Masses'!$Q$2+'AA Exact Masses'!$Q$2-'Mass Ion Calculations'!$E$24-'Mass Ion Calculations'!$E13)/2-'Mass Ion Calculations'!$D$5),IF('Mass Ion Calculations'!$D$7="Yes", ('Mass Ion Calculations'!$D$15+'AA Exact Masses'!$Q$2+'AA Exact Masses'!$Q$2-'Mass Ion Calculations'!$C$24-'Mass Ion Calculations'!$C13)/2-'Mass Ion Calculations'!$D$5,('Mass Ion Calculations'!$F$15+'AA Exact Masses'!$Q$2+'AA Exact Masses'!$Q$2-'Mass Ion Calculations'!$E$24-'Mass Ion Calculations'!$E13)/2-'Mass Ion Calculations'!$D$5)))</f>
        <v/>
      </c>
      <c r="W12" s="3" t="str">
        <f>IF(OR($B12="",W$3=""),"",IF('Mass Ion Calculations'!$D$6="Yes",IF('Mass Ion Calculations'!$D$7="Yes",('Mass Ion Calculations'!$D$18+'AA Exact Masses'!$Q$2+'AA Exact Masses'!$Q$2-'Mass Ion Calculations'!$C$25-'Mass Ion Calculations'!$C13)/2-'Mass Ion Calculations'!$D$5,('Mass Ion Calculations'!$F$18+'AA Exact Masses'!$Q$2+'AA Exact Masses'!$Q$2-'Mass Ion Calculations'!$E$25-'Mass Ion Calculations'!$E13)/2-'Mass Ion Calculations'!$D$5),IF('Mass Ion Calculations'!$D$7="Yes", ('Mass Ion Calculations'!$D$15+'AA Exact Masses'!$Q$2+'AA Exact Masses'!$Q$2-'Mass Ion Calculations'!$C$25-'Mass Ion Calculations'!$C13)/2-'Mass Ion Calculations'!$D$5,('Mass Ion Calculations'!$F$15+'AA Exact Masses'!$Q$2+'AA Exact Masses'!$Q$2-'Mass Ion Calculations'!$E$25-'Mass Ion Calculations'!$E13)/2-'Mass Ion Calculations'!$D$5)))</f>
        <v/>
      </c>
      <c r="X12" s="3" t="str">
        <f>IF(OR($B12="",X$3=""),"",IF('Mass Ion Calculations'!$D$6="Yes",IF('Mass Ion Calculations'!$D$7="Yes",('Mass Ion Calculations'!$D$18+'AA Exact Masses'!$Q$2+'AA Exact Masses'!$Q$2-'Mass Ion Calculations'!$C$26-'Mass Ion Calculations'!$C13)/2-'Mass Ion Calculations'!$D$5,('Mass Ion Calculations'!$F$18+'AA Exact Masses'!$Q$2+'AA Exact Masses'!$Q$2-'Mass Ion Calculations'!$E$26-'Mass Ion Calculations'!$E13)/2-'Mass Ion Calculations'!$D$5),IF('Mass Ion Calculations'!$D$7="Yes", ('Mass Ion Calculations'!$D$15+'AA Exact Masses'!$Q$2+'AA Exact Masses'!$Q$2-'Mass Ion Calculations'!$C$26-'Mass Ion Calculations'!$C13)/2-'Mass Ion Calculations'!$D$5,('Mass Ion Calculations'!$F$15+'AA Exact Masses'!$Q$2+'AA Exact Masses'!$Q$2-'Mass Ion Calculations'!$E$26-'Mass Ion Calculations'!$E13)/2-'Mass Ion Calculations'!$D$5)))</f>
        <v/>
      </c>
      <c r="Y12" s="3" t="str">
        <f>IF(OR($B12="",Y$3=""),"",IF('Mass Ion Calculations'!$D$6="Yes",IF('Mass Ion Calculations'!$D$7="Yes",('Mass Ion Calculations'!$D$18+'AA Exact Masses'!$Q$2+'AA Exact Masses'!$Q$2-'Mass Ion Calculations'!$C$27-'Mass Ion Calculations'!$C13)/2-'Mass Ion Calculations'!$D$5,('Mass Ion Calculations'!$F$18+'AA Exact Masses'!$Q$2+'AA Exact Masses'!$Q$2-'Mass Ion Calculations'!$E$27-'Mass Ion Calculations'!$E13)/2-'Mass Ion Calculations'!$D$5),IF('Mass Ion Calculations'!$D$7="Yes", ('Mass Ion Calculations'!$D$15+'AA Exact Masses'!$Q$2+'AA Exact Masses'!$Q$2-'Mass Ion Calculations'!$C$27-'Mass Ion Calculations'!$C13)/2-'Mass Ion Calculations'!$D$5,('Mass Ion Calculations'!$F$15+'AA Exact Masses'!$Q$2+'AA Exact Masses'!$Q$2-'Mass Ion Calculations'!$E$27-'Mass Ion Calculations'!$E13)/2-'Mass Ion Calculations'!$D$5)))</f>
        <v/>
      </c>
      <c r="Z12" s="3" t="str">
        <f>IF(OR($B12="",Z$3=""),"",IF('Mass Ion Calculations'!$D$6="Yes",IF('Mass Ion Calculations'!$D$7="Yes",('Mass Ion Calculations'!$D$18+'AA Exact Masses'!$Q$2+'AA Exact Masses'!$Q$2-'Mass Ion Calculations'!$C$28-'Mass Ion Calculations'!$C13)/2-'Mass Ion Calculations'!$D$5,('Mass Ion Calculations'!$F$18+'AA Exact Masses'!$Q$2+'AA Exact Masses'!$Q$2-'Mass Ion Calculations'!$E$28-'Mass Ion Calculations'!$E13)/2-'Mass Ion Calculations'!$D$5),IF('Mass Ion Calculations'!$D$7="Yes", ('Mass Ion Calculations'!$D$15+'AA Exact Masses'!$Q$2+'AA Exact Masses'!$Q$2-'Mass Ion Calculations'!$C$28-'Mass Ion Calculations'!$C13)/2-'Mass Ion Calculations'!$D$5,('Mass Ion Calculations'!$F$15+'AA Exact Masses'!$Q$2+'AA Exact Masses'!$Q$2-'Mass Ion Calculations'!$E$28-'Mass Ion Calculations'!$E13)/2-'Mass Ion Calculations'!$D$5)))</f>
        <v/>
      </c>
    </row>
    <row r="13" spans="2:26" x14ac:dyDescent="0.25">
      <c r="B13" s="4" t="str">
        <f>IF('Mass Ion Calculations'!B14="","", 'Mass Ion Calculations'!B14)</f>
        <v>Glu(OtBu)</v>
      </c>
      <c r="C13" s="3">
        <f>IF(OR($B13="",C$3=""),"",IF('Mass Ion Calculations'!$D$6="Yes",IF('Mass Ion Calculations'!$D$7="Yes",('Mass Ion Calculations'!$D$18+'AA Exact Masses'!$Q$2+'AA Exact Masses'!$Q$2-'Mass Ion Calculations'!$C$5-'Mass Ion Calculations'!$C14)/2-'Mass Ion Calculations'!$D$5,('Mass Ion Calculations'!$F$18+'AA Exact Masses'!$Q$2+'AA Exact Masses'!$Q$2-'Mass Ion Calculations'!$E$5-'Mass Ion Calculations'!$E14)/2-'Mass Ion Calculations'!$D$5),IF('Mass Ion Calculations'!$D$7="Yes", ('Mass Ion Calculations'!$D$15+'AA Exact Masses'!$Q$2+'AA Exact Masses'!$Q$2-'Mass Ion Calculations'!$C$5-'Mass Ion Calculations'!$C14)/2-'Mass Ion Calculations'!$D$5,('Mass Ion Calculations'!$F$15+'AA Exact Masses'!$Q$2+'AA Exact Masses'!$Q$2-'Mass Ion Calculations'!$E$5-'Mass Ion Calculations'!$E14)/2-'Mass Ion Calculations'!$D$5)))</f>
        <v>-432.59046000000001</v>
      </c>
      <c r="D13" s="3">
        <f>IF(OR($B13="",D$3=""),"",IF('Mass Ion Calculations'!$D$6="Yes",IF('Mass Ion Calculations'!$D$7="Yes",('Mass Ion Calculations'!$D$18+'AA Exact Masses'!$Q$2+'AA Exact Masses'!$Q$2-'Mass Ion Calculations'!$C$6-'Mass Ion Calculations'!$C14)/2-'Mass Ion Calculations'!$D$5,('Mass Ion Calculations'!$F$18+'AA Exact Masses'!$Q$2+'AA Exact Masses'!$Q$2-'Mass Ion Calculations'!$E$6-'Mass Ion Calculations'!$E14)/2-'Mass Ion Calculations'!$D$5),IF('Mass Ion Calculations'!$D$7="Yes", ('Mass Ion Calculations'!$D$15+'AA Exact Masses'!$Q$2+'AA Exact Masses'!$Q$2-'Mass Ion Calculations'!$C$6-'Mass Ion Calculations'!$C14)/2-'Mass Ion Calculations'!$D$5,('Mass Ion Calculations'!$F$15+'AA Exact Masses'!$Q$2+'AA Exact Masses'!$Q$2-'Mass Ion Calculations'!$E$6-'Mass Ion Calculations'!$E14)/2-'Mass Ion Calculations'!$D$5)))</f>
        <v>-411.06935499999997</v>
      </c>
      <c r="E13" s="3">
        <f>IF(OR($B13="",E$3=""),"",IF('Mass Ion Calculations'!$D$6="Yes",IF('Mass Ion Calculations'!$D$7="Yes",('Mass Ion Calculations'!$D$18+'AA Exact Masses'!$Q$2+'AA Exact Masses'!$Q$2-'Mass Ion Calculations'!$C$7-'Mass Ion Calculations'!$C14)/2-'Mass Ion Calculations'!$D$5,('Mass Ion Calculations'!$F$18+'AA Exact Masses'!$Q$2+'AA Exact Masses'!$Q$2-'Mass Ion Calculations'!$E$7-'Mass Ion Calculations'!$E14)/2-'Mass Ion Calculations'!$D$5),IF('Mass Ion Calculations'!$D$7="Yes", ('Mass Ion Calculations'!$D$15+'AA Exact Masses'!$Q$2+'AA Exact Masses'!$Q$2-'Mass Ion Calculations'!$C$7-'Mass Ion Calculations'!$C14)/2-'Mass Ion Calculations'!$D$5,('Mass Ion Calculations'!$F$15+'AA Exact Masses'!$Q$2+'AA Exact Masses'!$Q$2-'Mass Ion Calculations'!$E$7-'Mass Ion Calculations'!$E14)/2-'Mass Ion Calculations'!$D$5)))</f>
        <v>-432.09282999999994</v>
      </c>
      <c r="F13" s="3">
        <f>IF(OR($B13="",F$3=""),"",IF('Mass Ion Calculations'!$D$6="Yes",IF('Mass Ion Calculations'!$D$7="Yes",('Mass Ion Calculations'!$D$18+'AA Exact Masses'!$Q$2+'AA Exact Masses'!$Q$2-'Mass Ion Calculations'!$C$8-'Mass Ion Calculations'!$C14)/2-'Mass Ion Calculations'!$D$5,('Mass Ion Calculations'!$F$18+'AA Exact Masses'!$Q$2+'AA Exact Masses'!$Q$2-'Mass Ion Calculations'!$E$8-'Mass Ion Calculations'!$E14)/2-'Mass Ion Calculations'!$D$5),IF('Mass Ion Calculations'!$D$7="Yes", ('Mass Ion Calculations'!$D$15+'AA Exact Masses'!$Q$2+'AA Exact Masses'!$Q$2-'Mass Ion Calculations'!$C$8-'Mass Ion Calculations'!$C14)/2-'Mass Ion Calculations'!$D$5,('Mass Ion Calculations'!$F$15+'AA Exact Masses'!$Q$2+'AA Exact Masses'!$Q$2-'Mass Ion Calculations'!$E$8-'Mass Ion Calculations'!$E14)/2-'Mass Ion Calculations'!$D$5)))</f>
        <v>-432.09282999999994</v>
      </c>
      <c r="G13" s="3">
        <f>IF(OR($B13="",G$3=""),"",IF('Mass Ion Calculations'!$D$6="Yes",IF('Mass Ion Calculations'!$D$7="Yes",('Mass Ion Calculations'!$D$18+'AA Exact Masses'!$Q$2+'AA Exact Masses'!$Q$2-'Mass Ion Calculations'!$C$9-'Mass Ion Calculations'!$C14)/2-'Mass Ion Calculations'!$D$5,('Mass Ion Calculations'!$F$18+'AA Exact Masses'!$Q$2+'AA Exact Masses'!$Q$2-'Mass Ion Calculations'!$E$9-'Mass Ion Calculations'!$E14)/2-'Mass Ion Calculations'!$D$5),IF('Mass Ion Calculations'!$D$7="Yes", ('Mass Ion Calculations'!$D$15+'AA Exact Masses'!$Q$2+'AA Exact Masses'!$Q$2-'Mass Ion Calculations'!$C$9-'Mass Ion Calculations'!$C14)/2-'Mass Ion Calculations'!$D$5,('Mass Ion Calculations'!$F$15+'AA Exact Masses'!$Q$2+'AA Exact Masses'!$Q$2-'Mass Ion Calculations'!$E$9-'Mass Ion Calculations'!$E14)/2-'Mass Ion Calculations'!$D$5)))</f>
        <v>-411.06935499999997</v>
      </c>
      <c r="H13" s="3">
        <f>IF(OR($B13="",H$3=""),"",IF('Mass Ion Calculations'!$D$6="Yes",IF('Mass Ion Calculations'!$D$7="Yes",('Mass Ion Calculations'!$D$18+'AA Exact Masses'!$Q$2+'AA Exact Masses'!$Q$2-'Mass Ion Calculations'!$C$10-'Mass Ion Calculations'!$C14)/2-'Mass Ion Calculations'!$D$5,('Mass Ion Calculations'!$F$18+'AA Exact Masses'!$Q$2+'AA Exact Masses'!$Q$2-'Mass Ion Calculations'!$E$10-'Mass Ion Calculations'!$E14)/2-'Mass Ion Calculations'!$D$5),IF('Mass Ion Calculations'!$D$7="Yes", ('Mass Ion Calculations'!$D$15+'AA Exact Masses'!$Q$2+'AA Exact Masses'!$Q$2-'Mass Ion Calculations'!$C$10-'Mass Ion Calculations'!$C14)/2-'Mass Ion Calculations'!$D$5,('Mass Ion Calculations'!$F$15+'AA Exact Masses'!$Q$2+'AA Exact Masses'!$Q$2-'Mass Ion Calculations'!$E$10-'Mass Ion Calculations'!$E14)/2-'Mass Ion Calculations'!$D$5)))</f>
        <v>-432.09282999999994</v>
      </c>
      <c r="I13" s="3">
        <f>IF(OR($B13="",I$3=""),"",IF('Mass Ion Calculations'!$D$6="Yes",IF('Mass Ion Calculations'!$D$7="Yes",('Mass Ion Calculations'!$D$18+'AA Exact Masses'!$Q$2+'AA Exact Masses'!$Q$2-'Mass Ion Calculations'!$C$11-'Mass Ion Calculations'!$C14)/2-'Mass Ion Calculations'!$D$5,('Mass Ion Calculations'!$F$18+'AA Exact Masses'!$Q$2+'AA Exact Masses'!$Q$2-'Mass Ion Calculations'!$E$11-'Mass Ion Calculations'!$E14)/2-'Mass Ion Calculations'!$D$5),IF('Mass Ion Calculations'!$D$7="Yes", ('Mass Ion Calculations'!$D$15+'AA Exact Masses'!$Q$2+'AA Exact Masses'!$Q$2-'Mass Ion Calculations'!$C$11-'Mass Ion Calculations'!$C14)/2-'Mass Ion Calculations'!$D$5,('Mass Ion Calculations'!$F$15+'AA Exact Masses'!$Q$2+'AA Exact Masses'!$Q$2-'Mass Ion Calculations'!$E$11-'Mass Ion Calculations'!$E14)/2-'Mass Ion Calculations'!$D$5)))</f>
        <v>-432.59046000000001</v>
      </c>
      <c r="J13" s="3">
        <f>IF(OR($B13="",J$3=""),"",IF('Mass Ion Calculations'!$D$6="Yes",IF('Mass Ion Calculations'!$D$7="Yes",('Mass Ion Calculations'!$D$18+'AA Exact Masses'!$Q$2+'AA Exact Masses'!$Q$2-'Mass Ion Calculations'!$C$12-'Mass Ion Calculations'!$C14)/2-'Mass Ion Calculations'!$D$5,('Mass Ion Calculations'!$F$18+'AA Exact Masses'!$Q$2+'AA Exact Masses'!$Q$2-'Mass Ion Calculations'!$E$12-'Mass Ion Calculations'!$E14)/2-'Mass Ion Calculations'!$D$5),IF('Mass Ion Calculations'!$D$7="Yes", ('Mass Ion Calculations'!$D$15+'AA Exact Masses'!$Q$2+'AA Exact Masses'!$Q$2-'Mass Ion Calculations'!$C$12-'Mass Ion Calculations'!$C14)/2-'Mass Ion Calculations'!$D$5,('Mass Ion Calculations'!$F$15+'AA Exact Masses'!$Q$2+'AA Exact Masses'!$Q$2-'Mass Ion Calculations'!$E$12-'Mass Ion Calculations'!$E14)/2-'Mass Ion Calculations'!$D$5)))</f>
        <v>-425.08500500000002</v>
      </c>
      <c r="K13" s="3">
        <f>IF(OR($B13="",K$3=""),"",IF('Mass Ion Calculations'!$D$6="Yes",IF('Mass Ion Calculations'!$D$7="Yes",('Mass Ion Calculations'!$D$18+'AA Exact Masses'!$Q$2+'AA Exact Masses'!$Q$2-'Mass Ion Calculations'!$C$13-'Mass Ion Calculations'!$C14)/2-'Mass Ion Calculations'!$D$5,('Mass Ion Calculations'!$F$18+'AA Exact Masses'!$Q$2+'AA Exact Masses'!$Q$2-'Mass Ion Calculations'!$E$13-'Mass Ion Calculations'!$E14)/2-'Mass Ion Calculations'!$D$5),IF('Mass Ion Calculations'!$D$7="Yes", ('Mass Ion Calculations'!$D$15+'AA Exact Masses'!$Q$2+'AA Exact Masses'!$Q$2-'Mass Ion Calculations'!$C$13-'Mass Ion Calculations'!$C14)/2-'Mass Ion Calculations'!$D$5,('Mass Ion Calculations'!$F$15+'AA Exact Masses'!$Q$2+'AA Exact Masses'!$Q$2-'Mass Ion Calculations'!$E$13-'Mass Ion Calculations'!$E14)/2-'Mass Ion Calculations'!$D$5)))</f>
        <v>-432.59046000000001</v>
      </c>
      <c r="L13" s="3">
        <f>IF(OR($B13="",L$3=""),"",IF('Mass Ion Calculations'!$D$6="Yes",IF('Mass Ion Calculations'!$D$7="Yes",('Mass Ion Calculations'!$D$18+'AA Exact Masses'!$Q$2+'AA Exact Masses'!$Q$2-'Mass Ion Calculations'!$C$14-'Mass Ion Calculations'!$C14)/2-'Mass Ion Calculations'!$D$5,('Mass Ion Calculations'!$F$18+'AA Exact Masses'!$Q$2+'AA Exact Masses'!$Q$2-'Mass Ion Calculations'!$E$14-'Mass Ion Calculations'!$E14)/2-'Mass Ion Calculations'!$D$5),IF('Mass Ion Calculations'!$D$7="Yes", ('Mass Ion Calculations'!$D$15+'AA Exact Masses'!$Q$2+'AA Exact Masses'!$Q$2-'Mass Ion Calculations'!$C$14-'Mass Ion Calculations'!$C14)/2-'Mass Ion Calculations'!$D$5,('Mass Ion Calculations'!$F$15+'AA Exact Masses'!$Q$2+'AA Exact Masses'!$Q$2-'Mass Ion Calculations'!$E$14-'Mass Ion Calculations'!$E14)/2-'Mass Ion Calculations'!$D$5)))</f>
        <v>-440.07209499999999</v>
      </c>
      <c r="M13" s="3">
        <f>IF(OR($B13="",M$3=""),"",IF('Mass Ion Calculations'!$D$6="Yes",IF('Mass Ion Calculations'!$D$7="Yes",('Mass Ion Calculations'!$D$18+'AA Exact Masses'!$Q$2+'AA Exact Masses'!$Q$2-'Mass Ion Calculations'!$C$15-'Mass Ion Calculations'!$C14)/2-'Mass Ion Calculations'!$D$5,('Mass Ion Calculations'!$F$18+'AA Exact Masses'!$Q$2+'AA Exact Masses'!$Q$2-'Mass Ion Calculations'!$E$15-'Mass Ion Calculations'!$E14)/2-'Mass Ion Calculations'!$D$5),IF('Mass Ion Calculations'!$D$7="Yes", ('Mass Ion Calculations'!$D$15+'AA Exact Masses'!$Q$2+'AA Exact Masses'!$Q$2-'Mass Ion Calculations'!$C$15-'Mass Ion Calculations'!$C14)/2-'Mass Ion Calculations'!$D$5,('Mass Ion Calculations'!$F$15+'AA Exact Masses'!$Q$2+'AA Exact Masses'!$Q$2-'Mass Ion Calculations'!$E$15-'Mass Ion Calculations'!$E14)/2-'Mass Ion Calculations'!$D$5)))</f>
        <v>-433.06426999999996</v>
      </c>
      <c r="N13" s="3">
        <f>IF(OR($B13="",N$3=""),"",IF('Mass Ion Calculations'!$D$6="Yes",IF('Mass Ion Calculations'!$D$7="Yes",('Mass Ion Calculations'!$D$18+'AA Exact Masses'!$Q$2+'AA Exact Masses'!$Q$2-'Mass Ion Calculations'!$C$16-'Mass Ion Calculations'!$C14)/2-'Mass Ion Calculations'!$D$5,('Mass Ion Calculations'!$F$18+'AA Exact Masses'!$Q$2+'AA Exact Masses'!$Q$2-'Mass Ion Calculations'!$E$16-'Mass Ion Calculations'!$E14)/2-'Mass Ion Calculations'!$D$5),IF('Mass Ion Calculations'!$D$7="Yes", ('Mass Ion Calculations'!$D$15+'AA Exact Masses'!$Q$2+'AA Exact Masses'!$Q$2-'Mass Ion Calculations'!$C$16-'Mass Ion Calculations'!$C14)/2-'Mass Ion Calculations'!$D$5,('Mass Ion Calculations'!$F$15+'AA Exact Masses'!$Q$2+'AA Exact Masses'!$Q$2-'Mass Ion Calculations'!$E$16-'Mass Ion Calculations'!$E14)/2-'Mass Ion Calculations'!$D$5)))</f>
        <v>-411.06935499999997</v>
      </c>
      <c r="O13" s="3">
        <f>IF(OR($B13="",O$3=""),"",IF('Mass Ion Calculations'!$D$6="Yes",IF('Mass Ion Calculations'!$D$7="Yes",('Mass Ion Calculations'!$D$18+'AA Exact Masses'!$Q$2+'AA Exact Masses'!$Q$2-'Mass Ion Calculations'!$C$17-'Mass Ion Calculations'!$C14)/2-'Mass Ion Calculations'!$D$5,('Mass Ion Calculations'!$F$18+'AA Exact Masses'!$Q$2+'AA Exact Masses'!$Q$2-'Mass Ion Calculations'!$E$17-'Mass Ion Calculations'!$E14)/2-'Mass Ion Calculations'!$D$5),IF('Mass Ion Calculations'!$D$7="Yes", ('Mass Ion Calculations'!$D$15+'AA Exact Masses'!$Q$2+'AA Exact Masses'!$Q$2-'Mass Ion Calculations'!$C$17-'Mass Ion Calculations'!$C14)/2-'Mass Ion Calculations'!$D$5,('Mass Ion Calculations'!$F$15+'AA Exact Masses'!$Q$2+'AA Exact Masses'!$Q$2-'Mass Ion Calculations'!$E$17-'Mass Ion Calculations'!$E14)/2-'Mass Ion Calculations'!$D$5)))</f>
        <v>-449.08500500000002</v>
      </c>
      <c r="P13" s="3">
        <f>IF(OR($B13="",P$3=""),"",IF('Mass Ion Calculations'!$D$6="Yes",IF('Mass Ion Calculations'!$D$7="Yes",('Mass Ion Calculations'!$D$18+'AA Exact Masses'!$Q$2+'AA Exact Masses'!$Q$2-'Mass Ion Calculations'!$C$18-'Mass Ion Calculations'!$C14)/2-'Mass Ion Calculations'!$D$5,('Mass Ion Calculations'!$F$18+'AA Exact Masses'!$Q$2+'AA Exact Masses'!$Q$2-'Mass Ion Calculations'!$E$18-'Mass Ion Calculations'!$E14)/2-'Mass Ion Calculations'!$D$5),IF('Mass Ion Calculations'!$D$7="Yes", ('Mass Ion Calculations'!$D$15+'AA Exact Masses'!$Q$2+'AA Exact Masses'!$Q$2-'Mass Ion Calculations'!$C$18-'Mass Ion Calculations'!$C14)/2-'Mass Ion Calculations'!$D$5,('Mass Ion Calculations'!$F$15+'AA Exact Masses'!$Q$2+'AA Exact Masses'!$Q$2-'Mass Ion Calculations'!$E$18-'Mass Ion Calculations'!$E14)/2-'Mass Ion Calculations'!$D$5)))</f>
        <v>-512.03332999999998</v>
      </c>
      <c r="Q13" s="3">
        <f>IF(OR($B13="",Q$3=""),"",IF('Mass Ion Calculations'!$D$6="Yes",IF('Mass Ion Calculations'!$D$7="Yes",('Mass Ion Calculations'!$D$18+'AA Exact Masses'!$Q$2+'AA Exact Masses'!$Q$2-'Mass Ion Calculations'!$C$19-'Mass Ion Calculations'!$C14)/2-'Mass Ion Calculations'!$D$5,('Mass Ion Calculations'!$F$18+'AA Exact Masses'!$Q$2+'AA Exact Masses'!$Q$2-'Mass Ion Calculations'!$E$19-'Mass Ion Calculations'!$E14)/2-'Mass Ion Calculations'!$D$5),IF('Mass Ion Calculations'!$D$7="Yes", ('Mass Ion Calculations'!$D$15+'AA Exact Masses'!$Q$2+'AA Exact Masses'!$Q$2-'Mass Ion Calculations'!$C$19-'Mass Ion Calculations'!$C14)/2-'Mass Ion Calculations'!$D$5,('Mass Ion Calculations'!$F$15+'AA Exact Masses'!$Q$2+'AA Exact Masses'!$Q$2-'Mass Ion Calculations'!$E$19-'Mass Ion Calculations'!$E14)/2-'Mass Ion Calculations'!$D$5)))</f>
        <v>-425.08500500000002</v>
      </c>
      <c r="R13" s="3">
        <f>IF(OR($B13="",R$3=""),"",IF('Mass Ion Calculations'!$D$6="Yes",IF('Mass Ion Calculations'!$D$7="Yes",('Mass Ion Calculations'!$D$18+'AA Exact Masses'!$Q$2+'AA Exact Masses'!$Q$2-'Mass Ion Calculations'!$C$20-'Mass Ion Calculations'!$C14)/2-'Mass Ion Calculations'!$D$5,('Mass Ion Calculations'!$F$18+'AA Exact Masses'!$Q$2+'AA Exact Masses'!$Q$2-'Mass Ion Calculations'!$E$20-'Mass Ion Calculations'!$E14)/2-'Mass Ion Calculations'!$D$5),IF('Mass Ion Calculations'!$D$7="Yes", ('Mass Ion Calculations'!$D$15+'AA Exact Masses'!$Q$2+'AA Exact Masses'!$Q$2-'Mass Ion Calculations'!$C$20-'Mass Ion Calculations'!$C14)/2-'Mass Ion Calculations'!$D$5,('Mass Ion Calculations'!$F$15+'AA Exact Masses'!$Q$2+'AA Exact Masses'!$Q$2-'Mass Ion Calculations'!$E$20-'Mass Ion Calculations'!$E14)/2-'Mass Ion Calculations'!$D$5)))</f>
        <v>-432.09282999999994</v>
      </c>
      <c r="S13" s="3" t="str">
        <f>IF(OR($B13="",S$3=""),"",IF('Mass Ion Calculations'!$D$6="Yes",IF('Mass Ion Calculations'!$D$7="Yes",('Mass Ion Calculations'!$D$18+'AA Exact Masses'!$Q$2+'AA Exact Masses'!$Q$2-'Mass Ion Calculations'!$C$21-'Mass Ion Calculations'!$C14)/2-'Mass Ion Calculations'!$D$5,('Mass Ion Calculations'!$F$18+'AA Exact Masses'!$Q$2+'AA Exact Masses'!$Q$2-'Mass Ion Calculations'!$E$21-'Mass Ion Calculations'!$E14)/2-'Mass Ion Calculations'!$D$5),IF('Mass Ion Calculations'!$D$7="Yes", ('Mass Ion Calculations'!$D$15+'AA Exact Masses'!$Q$2+'AA Exact Masses'!$Q$2-'Mass Ion Calculations'!$C$21-'Mass Ion Calculations'!$C14)/2-'Mass Ion Calculations'!$D$5,('Mass Ion Calculations'!$F$15+'AA Exact Masses'!$Q$2+'AA Exact Masses'!$Q$2-'Mass Ion Calculations'!$E$21-'Mass Ion Calculations'!$E14)/2-'Mass Ion Calculations'!$D$5)))</f>
        <v/>
      </c>
      <c r="T13" s="3" t="e">
        <f>IF(OR($B13="",T$3=""),"",IF('Mass Ion Calculations'!$D$6="Yes",IF('Mass Ion Calculations'!$D$7="Yes",('Mass Ion Calculations'!$D$18+'AA Exact Masses'!$Q$2+'AA Exact Masses'!$Q$2-'Mass Ion Calculations'!$C$22-'Mass Ion Calculations'!$C14)/2-'Mass Ion Calculations'!$D$5,('Mass Ion Calculations'!$F$18+'AA Exact Masses'!$Q$2+'AA Exact Masses'!$Q$2-'Mass Ion Calculations'!$E$22-'Mass Ion Calculations'!$E14)/2-'Mass Ion Calculations'!$D$5),IF('Mass Ion Calculations'!$D$7="Yes", ('Mass Ion Calculations'!$D$15+'AA Exact Masses'!$Q$2+'AA Exact Masses'!$Q$2-'Mass Ion Calculations'!$C$22-'Mass Ion Calculations'!$C14)/2-'Mass Ion Calculations'!$D$5,('Mass Ion Calculations'!$F$15+'AA Exact Masses'!$Q$2+'AA Exact Masses'!$Q$2-'Mass Ion Calculations'!$E$22-'Mass Ion Calculations'!$E14)/2-'Mass Ion Calculations'!$D$5)))</f>
        <v>#VALUE!</v>
      </c>
      <c r="U13" s="3" t="e">
        <f>IF(OR($B13="",U$3=""),"",IF('Mass Ion Calculations'!$D$6="Yes",IF('Mass Ion Calculations'!$D$7="Yes",('Mass Ion Calculations'!$D$18+'AA Exact Masses'!$Q$2+'AA Exact Masses'!$Q$2-'Mass Ion Calculations'!$C$23-'Mass Ion Calculations'!$C14)/2-'Mass Ion Calculations'!$D$5,('Mass Ion Calculations'!$F$18+'AA Exact Masses'!$Q$2+'AA Exact Masses'!$Q$2-'Mass Ion Calculations'!$E$23-'Mass Ion Calculations'!$E14)/2-'Mass Ion Calculations'!$D$5),IF('Mass Ion Calculations'!$D$7="Yes", ('Mass Ion Calculations'!$D$15+'AA Exact Masses'!$Q$2+'AA Exact Masses'!$Q$2-'Mass Ion Calculations'!$C$23-'Mass Ion Calculations'!$C14)/2-'Mass Ion Calculations'!$D$5,('Mass Ion Calculations'!$F$15+'AA Exact Masses'!$Q$2+'AA Exact Masses'!$Q$2-'Mass Ion Calculations'!$E$23-'Mass Ion Calculations'!$E14)/2-'Mass Ion Calculations'!$D$5)))</f>
        <v>#VALUE!</v>
      </c>
      <c r="V13" s="3" t="str">
        <f>IF(OR($B13="",V$3=""),"",IF('Mass Ion Calculations'!$D$6="Yes",IF('Mass Ion Calculations'!$D$7="Yes",('Mass Ion Calculations'!$D$18+'AA Exact Masses'!$Q$2+'AA Exact Masses'!$Q$2-'Mass Ion Calculations'!$C$24-'Mass Ion Calculations'!$C14)/2-'Mass Ion Calculations'!$D$5,('Mass Ion Calculations'!$F$18+'AA Exact Masses'!$Q$2+'AA Exact Masses'!$Q$2-'Mass Ion Calculations'!$E$24-'Mass Ion Calculations'!$E14)/2-'Mass Ion Calculations'!$D$5),IF('Mass Ion Calculations'!$D$7="Yes", ('Mass Ion Calculations'!$D$15+'AA Exact Masses'!$Q$2+'AA Exact Masses'!$Q$2-'Mass Ion Calculations'!$C$24-'Mass Ion Calculations'!$C14)/2-'Mass Ion Calculations'!$D$5,('Mass Ion Calculations'!$F$15+'AA Exact Masses'!$Q$2+'AA Exact Masses'!$Q$2-'Mass Ion Calculations'!$E$24-'Mass Ion Calculations'!$E14)/2-'Mass Ion Calculations'!$D$5)))</f>
        <v/>
      </c>
      <c r="W13" s="3" t="str">
        <f>IF(OR($B13="",W$3=""),"",IF('Mass Ion Calculations'!$D$6="Yes",IF('Mass Ion Calculations'!$D$7="Yes",('Mass Ion Calculations'!$D$18+'AA Exact Masses'!$Q$2+'AA Exact Masses'!$Q$2-'Mass Ion Calculations'!$C$25-'Mass Ion Calculations'!$C14)/2-'Mass Ion Calculations'!$D$5,('Mass Ion Calculations'!$F$18+'AA Exact Masses'!$Q$2+'AA Exact Masses'!$Q$2-'Mass Ion Calculations'!$E$25-'Mass Ion Calculations'!$E14)/2-'Mass Ion Calculations'!$D$5),IF('Mass Ion Calculations'!$D$7="Yes", ('Mass Ion Calculations'!$D$15+'AA Exact Masses'!$Q$2+'AA Exact Masses'!$Q$2-'Mass Ion Calculations'!$C$25-'Mass Ion Calculations'!$C14)/2-'Mass Ion Calculations'!$D$5,('Mass Ion Calculations'!$F$15+'AA Exact Masses'!$Q$2+'AA Exact Masses'!$Q$2-'Mass Ion Calculations'!$E$25-'Mass Ion Calculations'!$E14)/2-'Mass Ion Calculations'!$D$5)))</f>
        <v/>
      </c>
      <c r="X13" s="3" t="str">
        <f>IF(OR($B13="",X$3=""),"",IF('Mass Ion Calculations'!$D$6="Yes",IF('Mass Ion Calculations'!$D$7="Yes",('Mass Ion Calculations'!$D$18+'AA Exact Masses'!$Q$2+'AA Exact Masses'!$Q$2-'Mass Ion Calculations'!$C$26-'Mass Ion Calculations'!$C14)/2-'Mass Ion Calculations'!$D$5,('Mass Ion Calculations'!$F$18+'AA Exact Masses'!$Q$2+'AA Exact Masses'!$Q$2-'Mass Ion Calculations'!$E$26-'Mass Ion Calculations'!$E14)/2-'Mass Ion Calculations'!$D$5),IF('Mass Ion Calculations'!$D$7="Yes", ('Mass Ion Calculations'!$D$15+'AA Exact Masses'!$Q$2+'AA Exact Masses'!$Q$2-'Mass Ion Calculations'!$C$26-'Mass Ion Calculations'!$C14)/2-'Mass Ion Calculations'!$D$5,('Mass Ion Calculations'!$F$15+'AA Exact Masses'!$Q$2+'AA Exact Masses'!$Q$2-'Mass Ion Calculations'!$E$26-'Mass Ion Calculations'!$E14)/2-'Mass Ion Calculations'!$D$5)))</f>
        <v/>
      </c>
      <c r="Y13" s="3" t="str">
        <f>IF(OR($B13="",Y$3=""),"",IF('Mass Ion Calculations'!$D$6="Yes",IF('Mass Ion Calculations'!$D$7="Yes",('Mass Ion Calculations'!$D$18+'AA Exact Masses'!$Q$2+'AA Exact Masses'!$Q$2-'Mass Ion Calculations'!$C$27-'Mass Ion Calculations'!$C14)/2-'Mass Ion Calculations'!$D$5,('Mass Ion Calculations'!$F$18+'AA Exact Masses'!$Q$2+'AA Exact Masses'!$Q$2-'Mass Ion Calculations'!$E$27-'Mass Ion Calculations'!$E14)/2-'Mass Ion Calculations'!$D$5),IF('Mass Ion Calculations'!$D$7="Yes", ('Mass Ion Calculations'!$D$15+'AA Exact Masses'!$Q$2+'AA Exact Masses'!$Q$2-'Mass Ion Calculations'!$C$27-'Mass Ion Calculations'!$C14)/2-'Mass Ion Calculations'!$D$5,('Mass Ion Calculations'!$F$15+'AA Exact Masses'!$Q$2+'AA Exact Masses'!$Q$2-'Mass Ion Calculations'!$E$27-'Mass Ion Calculations'!$E14)/2-'Mass Ion Calculations'!$D$5)))</f>
        <v/>
      </c>
      <c r="Z13" s="3" t="str">
        <f>IF(OR($B13="",Z$3=""),"",IF('Mass Ion Calculations'!$D$6="Yes",IF('Mass Ion Calculations'!$D$7="Yes",('Mass Ion Calculations'!$D$18+'AA Exact Masses'!$Q$2+'AA Exact Masses'!$Q$2-'Mass Ion Calculations'!$C$28-'Mass Ion Calculations'!$C14)/2-'Mass Ion Calculations'!$D$5,('Mass Ion Calculations'!$F$18+'AA Exact Masses'!$Q$2+'AA Exact Masses'!$Q$2-'Mass Ion Calculations'!$E$28-'Mass Ion Calculations'!$E14)/2-'Mass Ion Calculations'!$D$5),IF('Mass Ion Calculations'!$D$7="Yes", ('Mass Ion Calculations'!$D$15+'AA Exact Masses'!$Q$2+'AA Exact Masses'!$Q$2-'Mass Ion Calculations'!$C$28-'Mass Ion Calculations'!$C14)/2-'Mass Ion Calculations'!$D$5,('Mass Ion Calculations'!$F$15+'AA Exact Masses'!$Q$2+'AA Exact Masses'!$Q$2-'Mass Ion Calculations'!$E$28-'Mass Ion Calculations'!$E14)/2-'Mass Ion Calculations'!$D$5)))</f>
        <v/>
      </c>
    </row>
    <row r="14" spans="2:26" x14ac:dyDescent="0.25">
      <c r="B14" s="4" t="str">
        <f>IF('Mass Ion Calculations'!B15="","", 'Mass Ion Calculations'!B15)</f>
        <v>Asp(tBu)</v>
      </c>
      <c r="C14" s="3">
        <f>IF(OR($B14="",C$3=""),"",IF('Mass Ion Calculations'!$D$6="Yes",IF('Mass Ion Calculations'!$D$7="Yes",('Mass Ion Calculations'!$D$18+'AA Exact Masses'!$Q$2+'AA Exact Masses'!$Q$2-'Mass Ion Calculations'!$C$5-'Mass Ion Calculations'!$C15)/2-'Mass Ion Calculations'!$D$5,('Mass Ion Calculations'!$F$18+'AA Exact Masses'!$Q$2+'AA Exact Masses'!$Q$2-'Mass Ion Calculations'!$E$5-'Mass Ion Calculations'!$E15)/2-'Mass Ion Calculations'!$D$5),IF('Mass Ion Calculations'!$D$7="Yes", ('Mass Ion Calculations'!$D$15+'AA Exact Masses'!$Q$2+'AA Exact Masses'!$Q$2-'Mass Ion Calculations'!$C$5-'Mass Ion Calculations'!$C15)/2-'Mass Ion Calculations'!$D$5,('Mass Ion Calculations'!$F$15+'AA Exact Masses'!$Q$2+'AA Exact Masses'!$Q$2-'Mass Ion Calculations'!$E$5-'Mass Ion Calculations'!$E15)/2-'Mass Ion Calculations'!$D$5)))</f>
        <v>-425.58263499999998</v>
      </c>
      <c r="D14" s="3">
        <f>IF(OR($B14="",D$3=""),"",IF('Mass Ion Calculations'!$D$6="Yes",IF('Mass Ion Calculations'!$D$7="Yes",('Mass Ion Calculations'!$D$18+'AA Exact Masses'!$Q$2+'AA Exact Masses'!$Q$2-'Mass Ion Calculations'!$C$6-'Mass Ion Calculations'!$C15)/2-'Mass Ion Calculations'!$D$5,('Mass Ion Calculations'!$F$18+'AA Exact Masses'!$Q$2+'AA Exact Masses'!$Q$2-'Mass Ion Calculations'!$E$6-'Mass Ion Calculations'!$E15)/2-'Mass Ion Calculations'!$D$5),IF('Mass Ion Calculations'!$D$7="Yes", ('Mass Ion Calculations'!$D$15+'AA Exact Masses'!$Q$2+'AA Exact Masses'!$Q$2-'Mass Ion Calculations'!$C$6-'Mass Ion Calculations'!$C15)/2-'Mass Ion Calculations'!$D$5,('Mass Ion Calculations'!$F$15+'AA Exact Masses'!$Q$2+'AA Exact Masses'!$Q$2-'Mass Ion Calculations'!$E$6-'Mass Ion Calculations'!$E15)/2-'Mass Ion Calculations'!$D$5)))</f>
        <v>-404.06152999999995</v>
      </c>
      <c r="E14" s="3">
        <f>IF(OR($B14="",E$3=""),"",IF('Mass Ion Calculations'!$D$6="Yes",IF('Mass Ion Calculations'!$D$7="Yes",('Mass Ion Calculations'!$D$18+'AA Exact Masses'!$Q$2+'AA Exact Masses'!$Q$2-'Mass Ion Calculations'!$C$7-'Mass Ion Calculations'!$C15)/2-'Mass Ion Calculations'!$D$5,('Mass Ion Calculations'!$F$18+'AA Exact Masses'!$Q$2+'AA Exact Masses'!$Q$2-'Mass Ion Calculations'!$E$7-'Mass Ion Calculations'!$E15)/2-'Mass Ion Calculations'!$D$5),IF('Mass Ion Calculations'!$D$7="Yes", ('Mass Ion Calculations'!$D$15+'AA Exact Masses'!$Q$2+'AA Exact Masses'!$Q$2-'Mass Ion Calculations'!$C$7-'Mass Ion Calculations'!$C15)/2-'Mass Ion Calculations'!$D$5,('Mass Ion Calculations'!$F$15+'AA Exact Masses'!$Q$2+'AA Exact Masses'!$Q$2-'Mass Ion Calculations'!$E$7-'Mass Ion Calculations'!$E15)/2-'Mass Ion Calculations'!$D$5)))</f>
        <v>-425.08500499999991</v>
      </c>
      <c r="F14" s="3">
        <f>IF(OR($B14="",F$3=""),"",IF('Mass Ion Calculations'!$D$6="Yes",IF('Mass Ion Calculations'!$D$7="Yes",('Mass Ion Calculations'!$D$18+'AA Exact Masses'!$Q$2+'AA Exact Masses'!$Q$2-'Mass Ion Calculations'!$C$8-'Mass Ion Calculations'!$C15)/2-'Mass Ion Calculations'!$D$5,('Mass Ion Calculations'!$F$18+'AA Exact Masses'!$Q$2+'AA Exact Masses'!$Q$2-'Mass Ion Calculations'!$E$8-'Mass Ion Calculations'!$E15)/2-'Mass Ion Calculations'!$D$5),IF('Mass Ion Calculations'!$D$7="Yes", ('Mass Ion Calculations'!$D$15+'AA Exact Masses'!$Q$2+'AA Exact Masses'!$Q$2-'Mass Ion Calculations'!$C$8-'Mass Ion Calculations'!$C15)/2-'Mass Ion Calculations'!$D$5,('Mass Ion Calculations'!$F$15+'AA Exact Masses'!$Q$2+'AA Exact Masses'!$Q$2-'Mass Ion Calculations'!$E$8-'Mass Ion Calculations'!$E15)/2-'Mass Ion Calculations'!$D$5)))</f>
        <v>-425.08500499999991</v>
      </c>
      <c r="G14" s="3">
        <f>IF(OR($B14="",G$3=""),"",IF('Mass Ion Calculations'!$D$6="Yes",IF('Mass Ion Calculations'!$D$7="Yes",('Mass Ion Calculations'!$D$18+'AA Exact Masses'!$Q$2+'AA Exact Masses'!$Q$2-'Mass Ion Calculations'!$C$9-'Mass Ion Calculations'!$C15)/2-'Mass Ion Calculations'!$D$5,('Mass Ion Calculations'!$F$18+'AA Exact Masses'!$Q$2+'AA Exact Masses'!$Q$2-'Mass Ion Calculations'!$E$9-'Mass Ion Calculations'!$E15)/2-'Mass Ion Calculations'!$D$5),IF('Mass Ion Calculations'!$D$7="Yes", ('Mass Ion Calculations'!$D$15+'AA Exact Masses'!$Q$2+'AA Exact Masses'!$Q$2-'Mass Ion Calculations'!$C$9-'Mass Ion Calculations'!$C15)/2-'Mass Ion Calculations'!$D$5,('Mass Ion Calculations'!$F$15+'AA Exact Masses'!$Q$2+'AA Exact Masses'!$Q$2-'Mass Ion Calculations'!$E$9-'Mass Ion Calculations'!$E15)/2-'Mass Ion Calculations'!$D$5)))</f>
        <v>-404.06152999999995</v>
      </c>
      <c r="H14" s="3">
        <f>IF(OR($B14="",H$3=""),"",IF('Mass Ion Calculations'!$D$6="Yes",IF('Mass Ion Calculations'!$D$7="Yes",('Mass Ion Calculations'!$D$18+'AA Exact Masses'!$Q$2+'AA Exact Masses'!$Q$2-'Mass Ion Calculations'!$C$10-'Mass Ion Calculations'!$C15)/2-'Mass Ion Calculations'!$D$5,('Mass Ion Calculations'!$F$18+'AA Exact Masses'!$Q$2+'AA Exact Masses'!$Q$2-'Mass Ion Calculations'!$E$10-'Mass Ion Calculations'!$E15)/2-'Mass Ion Calculations'!$D$5),IF('Mass Ion Calculations'!$D$7="Yes", ('Mass Ion Calculations'!$D$15+'AA Exact Masses'!$Q$2+'AA Exact Masses'!$Q$2-'Mass Ion Calculations'!$C$10-'Mass Ion Calculations'!$C15)/2-'Mass Ion Calculations'!$D$5,('Mass Ion Calculations'!$F$15+'AA Exact Masses'!$Q$2+'AA Exact Masses'!$Q$2-'Mass Ion Calculations'!$E$10-'Mass Ion Calculations'!$E15)/2-'Mass Ion Calculations'!$D$5)))</f>
        <v>-425.08500499999991</v>
      </c>
      <c r="I14" s="3">
        <f>IF(OR($B14="",I$3=""),"",IF('Mass Ion Calculations'!$D$6="Yes",IF('Mass Ion Calculations'!$D$7="Yes",('Mass Ion Calculations'!$D$18+'AA Exact Masses'!$Q$2+'AA Exact Masses'!$Q$2-'Mass Ion Calculations'!$C$11-'Mass Ion Calculations'!$C15)/2-'Mass Ion Calculations'!$D$5,('Mass Ion Calculations'!$F$18+'AA Exact Masses'!$Q$2+'AA Exact Masses'!$Q$2-'Mass Ion Calculations'!$E$11-'Mass Ion Calculations'!$E15)/2-'Mass Ion Calculations'!$D$5),IF('Mass Ion Calculations'!$D$7="Yes", ('Mass Ion Calculations'!$D$15+'AA Exact Masses'!$Q$2+'AA Exact Masses'!$Q$2-'Mass Ion Calculations'!$C$11-'Mass Ion Calculations'!$C15)/2-'Mass Ion Calculations'!$D$5,('Mass Ion Calculations'!$F$15+'AA Exact Masses'!$Q$2+'AA Exact Masses'!$Q$2-'Mass Ion Calculations'!$E$11-'Mass Ion Calculations'!$E15)/2-'Mass Ion Calculations'!$D$5)))</f>
        <v>-425.58263499999998</v>
      </c>
      <c r="J14" s="3">
        <f>IF(OR($B14="",J$3=""),"",IF('Mass Ion Calculations'!$D$6="Yes",IF('Mass Ion Calculations'!$D$7="Yes",('Mass Ion Calculations'!$D$18+'AA Exact Masses'!$Q$2+'AA Exact Masses'!$Q$2-'Mass Ion Calculations'!$C$12-'Mass Ion Calculations'!$C15)/2-'Mass Ion Calculations'!$D$5,('Mass Ion Calculations'!$F$18+'AA Exact Masses'!$Q$2+'AA Exact Masses'!$Q$2-'Mass Ion Calculations'!$E$12-'Mass Ion Calculations'!$E15)/2-'Mass Ion Calculations'!$D$5),IF('Mass Ion Calculations'!$D$7="Yes", ('Mass Ion Calculations'!$D$15+'AA Exact Masses'!$Q$2+'AA Exact Masses'!$Q$2-'Mass Ion Calculations'!$C$12-'Mass Ion Calculations'!$C15)/2-'Mass Ion Calculations'!$D$5,('Mass Ion Calculations'!$F$15+'AA Exact Masses'!$Q$2+'AA Exact Masses'!$Q$2-'Mass Ion Calculations'!$E$12-'Mass Ion Calculations'!$E15)/2-'Mass Ion Calculations'!$D$5)))</f>
        <v>-418.07718</v>
      </c>
      <c r="K14" s="3">
        <f>IF(OR($B14="",K$3=""),"",IF('Mass Ion Calculations'!$D$6="Yes",IF('Mass Ion Calculations'!$D$7="Yes",('Mass Ion Calculations'!$D$18+'AA Exact Masses'!$Q$2+'AA Exact Masses'!$Q$2-'Mass Ion Calculations'!$C$13-'Mass Ion Calculations'!$C15)/2-'Mass Ion Calculations'!$D$5,('Mass Ion Calculations'!$F$18+'AA Exact Masses'!$Q$2+'AA Exact Masses'!$Q$2-'Mass Ion Calculations'!$E$13-'Mass Ion Calculations'!$E15)/2-'Mass Ion Calculations'!$D$5),IF('Mass Ion Calculations'!$D$7="Yes", ('Mass Ion Calculations'!$D$15+'AA Exact Masses'!$Q$2+'AA Exact Masses'!$Q$2-'Mass Ion Calculations'!$C$13-'Mass Ion Calculations'!$C15)/2-'Mass Ion Calculations'!$D$5,('Mass Ion Calculations'!$F$15+'AA Exact Masses'!$Q$2+'AA Exact Masses'!$Q$2-'Mass Ion Calculations'!$E$13-'Mass Ion Calculations'!$E15)/2-'Mass Ion Calculations'!$D$5)))</f>
        <v>-425.58263499999998</v>
      </c>
      <c r="L14" s="3">
        <f>IF(OR($B14="",L$3=""),"",IF('Mass Ion Calculations'!$D$6="Yes",IF('Mass Ion Calculations'!$D$7="Yes",('Mass Ion Calculations'!$D$18+'AA Exact Masses'!$Q$2+'AA Exact Masses'!$Q$2-'Mass Ion Calculations'!$C$14-'Mass Ion Calculations'!$C15)/2-'Mass Ion Calculations'!$D$5,('Mass Ion Calculations'!$F$18+'AA Exact Masses'!$Q$2+'AA Exact Masses'!$Q$2-'Mass Ion Calculations'!$E$14-'Mass Ion Calculations'!$E15)/2-'Mass Ion Calculations'!$D$5),IF('Mass Ion Calculations'!$D$7="Yes", ('Mass Ion Calculations'!$D$15+'AA Exact Masses'!$Q$2+'AA Exact Masses'!$Q$2-'Mass Ion Calculations'!$C$14-'Mass Ion Calculations'!$C15)/2-'Mass Ion Calculations'!$D$5,('Mass Ion Calculations'!$F$15+'AA Exact Masses'!$Q$2+'AA Exact Masses'!$Q$2-'Mass Ion Calculations'!$E$14-'Mass Ion Calculations'!$E15)/2-'Mass Ion Calculations'!$D$5)))</f>
        <v>-433.06426999999996</v>
      </c>
      <c r="M14" s="3">
        <f>IF(OR($B14="",M$3=""),"",IF('Mass Ion Calculations'!$D$6="Yes",IF('Mass Ion Calculations'!$D$7="Yes",('Mass Ion Calculations'!$D$18+'AA Exact Masses'!$Q$2+'AA Exact Masses'!$Q$2-'Mass Ion Calculations'!$C$15-'Mass Ion Calculations'!$C15)/2-'Mass Ion Calculations'!$D$5,('Mass Ion Calculations'!$F$18+'AA Exact Masses'!$Q$2+'AA Exact Masses'!$Q$2-'Mass Ion Calculations'!$E$15-'Mass Ion Calculations'!$E15)/2-'Mass Ion Calculations'!$D$5),IF('Mass Ion Calculations'!$D$7="Yes", ('Mass Ion Calculations'!$D$15+'AA Exact Masses'!$Q$2+'AA Exact Masses'!$Q$2-'Mass Ion Calculations'!$C$15-'Mass Ion Calculations'!$C15)/2-'Mass Ion Calculations'!$D$5,('Mass Ion Calculations'!$F$15+'AA Exact Masses'!$Q$2+'AA Exact Masses'!$Q$2-'Mass Ion Calculations'!$E$15-'Mass Ion Calculations'!$E15)/2-'Mass Ion Calculations'!$D$5)))</f>
        <v>-426.05644499999994</v>
      </c>
      <c r="N14" s="3">
        <f>IF(OR($B14="",N$3=""),"",IF('Mass Ion Calculations'!$D$6="Yes",IF('Mass Ion Calculations'!$D$7="Yes",('Mass Ion Calculations'!$D$18+'AA Exact Masses'!$Q$2+'AA Exact Masses'!$Q$2-'Mass Ion Calculations'!$C$16-'Mass Ion Calculations'!$C15)/2-'Mass Ion Calculations'!$D$5,('Mass Ion Calculations'!$F$18+'AA Exact Masses'!$Q$2+'AA Exact Masses'!$Q$2-'Mass Ion Calculations'!$E$16-'Mass Ion Calculations'!$E15)/2-'Mass Ion Calculations'!$D$5),IF('Mass Ion Calculations'!$D$7="Yes", ('Mass Ion Calculations'!$D$15+'AA Exact Masses'!$Q$2+'AA Exact Masses'!$Q$2-'Mass Ion Calculations'!$C$16-'Mass Ion Calculations'!$C15)/2-'Mass Ion Calculations'!$D$5,('Mass Ion Calculations'!$F$15+'AA Exact Masses'!$Q$2+'AA Exact Masses'!$Q$2-'Mass Ion Calculations'!$E$16-'Mass Ion Calculations'!$E15)/2-'Mass Ion Calculations'!$D$5)))</f>
        <v>-404.06152999999995</v>
      </c>
      <c r="O14" s="3">
        <f>IF(OR($B14="",O$3=""),"",IF('Mass Ion Calculations'!$D$6="Yes",IF('Mass Ion Calculations'!$D$7="Yes",('Mass Ion Calculations'!$D$18+'AA Exact Masses'!$Q$2+'AA Exact Masses'!$Q$2-'Mass Ion Calculations'!$C$17-'Mass Ion Calculations'!$C15)/2-'Mass Ion Calculations'!$D$5,('Mass Ion Calculations'!$F$18+'AA Exact Masses'!$Q$2+'AA Exact Masses'!$Q$2-'Mass Ion Calculations'!$E$17-'Mass Ion Calculations'!$E15)/2-'Mass Ion Calculations'!$D$5),IF('Mass Ion Calculations'!$D$7="Yes", ('Mass Ion Calculations'!$D$15+'AA Exact Masses'!$Q$2+'AA Exact Masses'!$Q$2-'Mass Ion Calculations'!$C$17-'Mass Ion Calculations'!$C15)/2-'Mass Ion Calculations'!$D$5,('Mass Ion Calculations'!$F$15+'AA Exact Masses'!$Q$2+'AA Exact Masses'!$Q$2-'Mass Ion Calculations'!$E$17-'Mass Ion Calculations'!$E15)/2-'Mass Ion Calculations'!$D$5)))</f>
        <v>-442.07718</v>
      </c>
      <c r="P14" s="3">
        <f>IF(OR($B14="",P$3=""),"",IF('Mass Ion Calculations'!$D$6="Yes",IF('Mass Ion Calculations'!$D$7="Yes",('Mass Ion Calculations'!$D$18+'AA Exact Masses'!$Q$2+'AA Exact Masses'!$Q$2-'Mass Ion Calculations'!$C$18-'Mass Ion Calculations'!$C15)/2-'Mass Ion Calculations'!$D$5,('Mass Ion Calculations'!$F$18+'AA Exact Masses'!$Q$2+'AA Exact Masses'!$Q$2-'Mass Ion Calculations'!$E$18-'Mass Ion Calculations'!$E15)/2-'Mass Ion Calculations'!$D$5),IF('Mass Ion Calculations'!$D$7="Yes", ('Mass Ion Calculations'!$D$15+'AA Exact Masses'!$Q$2+'AA Exact Masses'!$Q$2-'Mass Ion Calculations'!$C$18-'Mass Ion Calculations'!$C15)/2-'Mass Ion Calculations'!$D$5,('Mass Ion Calculations'!$F$15+'AA Exact Masses'!$Q$2+'AA Exact Masses'!$Q$2-'Mass Ion Calculations'!$E$18-'Mass Ion Calculations'!$E15)/2-'Mass Ion Calculations'!$D$5)))</f>
        <v>-505.02550499999995</v>
      </c>
      <c r="Q14" s="3">
        <f>IF(OR($B14="",Q$3=""),"",IF('Mass Ion Calculations'!$D$6="Yes",IF('Mass Ion Calculations'!$D$7="Yes",('Mass Ion Calculations'!$D$18+'AA Exact Masses'!$Q$2+'AA Exact Masses'!$Q$2-'Mass Ion Calculations'!$C$19-'Mass Ion Calculations'!$C15)/2-'Mass Ion Calculations'!$D$5,('Mass Ion Calculations'!$F$18+'AA Exact Masses'!$Q$2+'AA Exact Masses'!$Q$2-'Mass Ion Calculations'!$E$19-'Mass Ion Calculations'!$E15)/2-'Mass Ion Calculations'!$D$5),IF('Mass Ion Calculations'!$D$7="Yes", ('Mass Ion Calculations'!$D$15+'AA Exact Masses'!$Q$2+'AA Exact Masses'!$Q$2-'Mass Ion Calculations'!$C$19-'Mass Ion Calculations'!$C15)/2-'Mass Ion Calculations'!$D$5,('Mass Ion Calculations'!$F$15+'AA Exact Masses'!$Q$2+'AA Exact Masses'!$Q$2-'Mass Ion Calculations'!$E$19-'Mass Ion Calculations'!$E15)/2-'Mass Ion Calculations'!$D$5)))</f>
        <v>-418.07718</v>
      </c>
      <c r="R14" s="3">
        <f>IF(OR($B14="",R$3=""),"",IF('Mass Ion Calculations'!$D$6="Yes",IF('Mass Ion Calculations'!$D$7="Yes",('Mass Ion Calculations'!$D$18+'AA Exact Masses'!$Q$2+'AA Exact Masses'!$Q$2-'Mass Ion Calculations'!$C$20-'Mass Ion Calculations'!$C15)/2-'Mass Ion Calculations'!$D$5,('Mass Ion Calculations'!$F$18+'AA Exact Masses'!$Q$2+'AA Exact Masses'!$Q$2-'Mass Ion Calculations'!$E$20-'Mass Ion Calculations'!$E15)/2-'Mass Ion Calculations'!$D$5),IF('Mass Ion Calculations'!$D$7="Yes", ('Mass Ion Calculations'!$D$15+'AA Exact Masses'!$Q$2+'AA Exact Masses'!$Q$2-'Mass Ion Calculations'!$C$20-'Mass Ion Calculations'!$C15)/2-'Mass Ion Calculations'!$D$5,('Mass Ion Calculations'!$F$15+'AA Exact Masses'!$Q$2+'AA Exact Masses'!$Q$2-'Mass Ion Calculations'!$E$20-'Mass Ion Calculations'!$E15)/2-'Mass Ion Calculations'!$D$5)))</f>
        <v>-425.08500499999991</v>
      </c>
      <c r="S14" s="3" t="str">
        <f>IF(OR($B14="",S$3=""),"",IF('Mass Ion Calculations'!$D$6="Yes",IF('Mass Ion Calculations'!$D$7="Yes",('Mass Ion Calculations'!$D$18+'AA Exact Masses'!$Q$2+'AA Exact Masses'!$Q$2-'Mass Ion Calculations'!$C$21-'Mass Ion Calculations'!$C15)/2-'Mass Ion Calculations'!$D$5,('Mass Ion Calculations'!$F$18+'AA Exact Masses'!$Q$2+'AA Exact Masses'!$Q$2-'Mass Ion Calculations'!$E$21-'Mass Ion Calculations'!$E15)/2-'Mass Ion Calculations'!$D$5),IF('Mass Ion Calculations'!$D$7="Yes", ('Mass Ion Calculations'!$D$15+'AA Exact Masses'!$Q$2+'AA Exact Masses'!$Q$2-'Mass Ion Calculations'!$C$21-'Mass Ion Calculations'!$C15)/2-'Mass Ion Calculations'!$D$5,('Mass Ion Calculations'!$F$15+'AA Exact Masses'!$Q$2+'AA Exact Masses'!$Q$2-'Mass Ion Calculations'!$E$21-'Mass Ion Calculations'!$E15)/2-'Mass Ion Calculations'!$D$5)))</f>
        <v/>
      </c>
      <c r="T14" s="3" t="e">
        <f>IF(OR($B14="",T$3=""),"",IF('Mass Ion Calculations'!$D$6="Yes",IF('Mass Ion Calculations'!$D$7="Yes",('Mass Ion Calculations'!$D$18+'AA Exact Masses'!$Q$2+'AA Exact Masses'!$Q$2-'Mass Ion Calculations'!$C$22-'Mass Ion Calculations'!$C15)/2-'Mass Ion Calculations'!$D$5,('Mass Ion Calculations'!$F$18+'AA Exact Masses'!$Q$2+'AA Exact Masses'!$Q$2-'Mass Ion Calculations'!$E$22-'Mass Ion Calculations'!$E15)/2-'Mass Ion Calculations'!$D$5),IF('Mass Ion Calculations'!$D$7="Yes", ('Mass Ion Calculations'!$D$15+'AA Exact Masses'!$Q$2+'AA Exact Masses'!$Q$2-'Mass Ion Calculations'!$C$22-'Mass Ion Calculations'!$C15)/2-'Mass Ion Calculations'!$D$5,('Mass Ion Calculations'!$F$15+'AA Exact Masses'!$Q$2+'AA Exact Masses'!$Q$2-'Mass Ion Calculations'!$E$22-'Mass Ion Calculations'!$E15)/2-'Mass Ion Calculations'!$D$5)))</f>
        <v>#VALUE!</v>
      </c>
      <c r="U14" s="3" t="e">
        <f>IF(OR($B14="",U$3=""),"",IF('Mass Ion Calculations'!$D$6="Yes",IF('Mass Ion Calculations'!$D$7="Yes",('Mass Ion Calculations'!$D$18+'AA Exact Masses'!$Q$2+'AA Exact Masses'!$Q$2-'Mass Ion Calculations'!$C$23-'Mass Ion Calculations'!$C15)/2-'Mass Ion Calculations'!$D$5,('Mass Ion Calculations'!$F$18+'AA Exact Masses'!$Q$2+'AA Exact Masses'!$Q$2-'Mass Ion Calculations'!$E$23-'Mass Ion Calculations'!$E15)/2-'Mass Ion Calculations'!$D$5),IF('Mass Ion Calculations'!$D$7="Yes", ('Mass Ion Calculations'!$D$15+'AA Exact Masses'!$Q$2+'AA Exact Masses'!$Q$2-'Mass Ion Calculations'!$C$23-'Mass Ion Calculations'!$C15)/2-'Mass Ion Calculations'!$D$5,('Mass Ion Calculations'!$F$15+'AA Exact Masses'!$Q$2+'AA Exact Masses'!$Q$2-'Mass Ion Calculations'!$E$23-'Mass Ion Calculations'!$E15)/2-'Mass Ion Calculations'!$D$5)))</f>
        <v>#VALUE!</v>
      </c>
      <c r="V14" s="3" t="str">
        <f>IF(OR($B14="",V$3=""),"",IF('Mass Ion Calculations'!$D$6="Yes",IF('Mass Ion Calculations'!$D$7="Yes",('Mass Ion Calculations'!$D$18+'AA Exact Masses'!$Q$2+'AA Exact Masses'!$Q$2-'Mass Ion Calculations'!$C$24-'Mass Ion Calculations'!$C15)/2-'Mass Ion Calculations'!$D$5,('Mass Ion Calculations'!$F$18+'AA Exact Masses'!$Q$2+'AA Exact Masses'!$Q$2-'Mass Ion Calculations'!$E$24-'Mass Ion Calculations'!$E15)/2-'Mass Ion Calculations'!$D$5),IF('Mass Ion Calculations'!$D$7="Yes", ('Mass Ion Calculations'!$D$15+'AA Exact Masses'!$Q$2+'AA Exact Masses'!$Q$2-'Mass Ion Calculations'!$C$24-'Mass Ion Calculations'!$C15)/2-'Mass Ion Calculations'!$D$5,('Mass Ion Calculations'!$F$15+'AA Exact Masses'!$Q$2+'AA Exact Masses'!$Q$2-'Mass Ion Calculations'!$E$24-'Mass Ion Calculations'!$E15)/2-'Mass Ion Calculations'!$D$5)))</f>
        <v/>
      </c>
      <c r="W14" s="3" t="str">
        <f>IF(OR($B14="",W$3=""),"",IF('Mass Ion Calculations'!$D$6="Yes",IF('Mass Ion Calculations'!$D$7="Yes",('Mass Ion Calculations'!$D$18+'AA Exact Masses'!$Q$2+'AA Exact Masses'!$Q$2-'Mass Ion Calculations'!$C$25-'Mass Ion Calculations'!$C15)/2-'Mass Ion Calculations'!$D$5,('Mass Ion Calculations'!$F$18+'AA Exact Masses'!$Q$2+'AA Exact Masses'!$Q$2-'Mass Ion Calculations'!$E$25-'Mass Ion Calculations'!$E15)/2-'Mass Ion Calculations'!$D$5),IF('Mass Ion Calculations'!$D$7="Yes", ('Mass Ion Calculations'!$D$15+'AA Exact Masses'!$Q$2+'AA Exact Masses'!$Q$2-'Mass Ion Calculations'!$C$25-'Mass Ion Calculations'!$C15)/2-'Mass Ion Calculations'!$D$5,('Mass Ion Calculations'!$F$15+'AA Exact Masses'!$Q$2+'AA Exact Masses'!$Q$2-'Mass Ion Calculations'!$E$25-'Mass Ion Calculations'!$E15)/2-'Mass Ion Calculations'!$D$5)))</f>
        <v/>
      </c>
      <c r="X14" s="3" t="str">
        <f>IF(OR($B14="",X$3=""),"",IF('Mass Ion Calculations'!$D$6="Yes",IF('Mass Ion Calculations'!$D$7="Yes",('Mass Ion Calculations'!$D$18+'AA Exact Masses'!$Q$2+'AA Exact Masses'!$Q$2-'Mass Ion Calculations'!$C$26-'Mass Ion Calculations'!$C15)/2-'Mass Ion Calculations'!$D$5,('Mass Ion Calculations'!$F$18+'AA Exact Masses'!$Q$2+'AA Exact Masses'!$Q$2-'Mass Ion Calculations'!$E$26-'Mass Ion Calculations'!$E15)/2-'Mass Ion Calculations'!$D$5),IF('Mass Ion Calculations'!$D$7="Yes", ('Mass Ion Calculations'!$D$15+'AA Exact Masses'!$Q$2+'AA Exact Masses'!$Q$2-'Mass Ion Calculations'!$C$26-'Mass Ion Calculations'!$C15)/2-'Mass Ion Calculations'!$D$5,('Mass Ion Calculations'!$F$15+'AA Exact Masses'!$Q$2+'AA Exact Masses'!$Q$2-'Mass Ion Calculations'!$E$26-'Mass Ion Calculations'!$E15)/2-'Mass Ion Calculations'!$D$5)))</f>
        <v/>
      </c>
      <c r="Y14" s="3" t="str">
        <f>IF(OR($B14="",Y$3=""),"",IF('Mass Ion Calculations'!$D$6="Yes",IF('Mass Ion Calculations'!$D$7="Yes",('Mass Ion Calculations'!$D$18+'AA Exact Masses'!$Q$2+'AA Exact Masses'!$Q$2-'Mass Ion Calculations'!$C$27-'Mass Ion Calculations'!$C15)/2-'Mass Ion Calculations'!$D$5,('Mass Ion Calculations'!$F$18+'AA Exact Masses'!$Q$2+'AA Exact Masses'!$Q$2-'Mass Ion Calculations'!$E$27-'Mass Ion Calculations'!$E15)/2-'Mass Ion Calculations'!$D$5),IF('Mass Ion Calculations'!$D$7="Yes", ('Mass Ion Calculations'!$D$15+'AA Exact Masses'!$Q$2+'AA Exact Masses'!$Q$2-'Mass Ion Calculations'!$C$27-'Mass Ion Calculations'!$C15)/2-'Mass Ion Calculations'!$D$5,('Mass Ion Calculations'!$F$15+'AA Exact Masses'!$Q$2+'AA Exact Masses'!$Q$2-'Mass Ion Calculations'!$E$27-'Mass Ion Calculations'!$E15)/2-'Mass Ion Calculations'!$D$5)))</f>
        <v/>
      </c>
      <c r="Z14" s="3" t="str">
        <f>IF(OR($B14="",Z$3=""),"",IF('Mass Ion Calculations'!$D$6="Yes",IF('Mass Ion Calculations'!$D$7="Yes",('Mass Ion Calculations'!$D$18+'AA Exact Masses'!$Q$2+'AA Exact Masses'!$Q$2-'Mass Ion Calculations'!$C$28-'Mass Ion Calculations'!$C15)/2-'Mass Ion Calculations'!$D$5,('Mass Ion Calculations'!$F$18+'AA Exact Masses'!$Q$2+'AA Exact Masses'!$Q$2-'Mass Ion Calculations'!$E$28-'Mass Ion Calculations'!$E15)/2-'Mass Ion Calculations'!$D$5),IF('Mass Ion Calculations'!$D$7="Yes", ('Mass Ion Calculations'!$D$15+'AA Exact Masses'!$Q$2+'AA Exact Masses'!$Q$2-'Mass Ion Calculations'!$C$28-'Mass Ion Calculations'!$C15)/2-'Mass Ion Calculations'!$D$5,('Mass Ion Calculations'!$F$15+'AA Exact Masses'!$Q$2+'AA Exact Masses'!$Q$2-'Mass Ion Calculations'!$E$28-'Mass Ion Calculations'!$E15)/2-'Mass Ion Calculations'!$D$5)))</f>
        <v/>
      </c>
    </row>
    <row r="15" spans="2:26" x14ac:dyDescent="0.25">
      <c r="B15" s="4" t="str">
        <f>IF('Mass Ion Calculations'!B16="","", 'Mass Ion Calculations'!B16)</f>
        <v>Ala</v>
      </c>
      <c r="C15" s="3">
        <f>IF(OR($B15="",C$3=""),"",IF('Mass Ion Calculations'!$D$6="Yes",IF('Mass Ion Calculations'!$D$7="Yes",('Mass Ion Calculations'!$D$18+'AA Exact Masses'!$Q$2+'AA Exact Masses'!$Q$2-'Mass Ion Calculations'!$C$5-'Mass Ion Calculations'!$C16)/2-'Mass Ion Calculations'!$D$5,('Mass Ion Calculations'!$F$18+'AA Exact Masses'!$Q$2+'AA Exact Masses'!$Q$2-'Mass Ion Calculations'!$E$5-'Mass Ion Calculations'!$E16)/2-'Mass Ion Calculations'!$D$5),IF('Mass Ion Calculations'!$D$7="Yes", ('Mass Ion Calculations'!$D$15+'AA Exact Masses'!$Q$2+'AA Exact Masses'!$Q$2-'Mass Ion Calculations'!$C$5-'Mass Ion Calculations'!$C16)/2-'Mass Ion Calculations'!$D$5,('Mass Ion Calculations'!$F$15+'AA Exact Masses'!$Q$2+'AA Exact Masses'!$Q$2-'Mass Ion Calculations'!$E$5-'Mass Ion Calculations'!$E16)/2-'Mass Ion Calculations'!$D$5)))</f>
        <v>-403.58771999999999</v>
      </c>
      <c r="D15" s="3">
        <f>IF(OR($B15="",D$3=""),"",IF('Mass Ion Calculations'!$D$6="Yes",IF('Mass Ion Calculations'!$D$7="Yes",('Mass Ion Calculations'!$D$18+'AA Exact Masses'!$Q$2+'AA Exact Masses'!$Q$2-'Mass Ion Calculations'!$C$6-'Mass Ion Calculations'!$C16)/2-'Mass Ion Calculations'!$D$5,('Mass Ion Calculations'!$F$18+'AA Exact Masses'!$Q$2+'AA Exact Masses'!$Q$2-'Mass Ion Calculations'!$E$6-'Mass Ion Calculations'!$E16)/2-'Mass Ion Calculations'!$D$5),IF('Mass Ion Calculations'!$D$7="Yes", ('Mass Ion Calculations'!$D$15+'AA Exact Masses'!$Q$2+'AA Exact Masses'!$Q$2-'Mass Ion Calculations'!$C$6-'Mass Ion Calculations'!$C16)/2-'Mass Ion Calculations'!$D$5,('Mass Ion Calculations'!$F$15+'AA Exact Masses'!$Q$2+'AA Exact Masses'!$Q$2-'Mass Ion Calculations'!$E$6-'Mass Ion Calculations'!$E16)/2-'Mass Ion Calculations'!$D$5)))</f>
        <v>-382.06661499999996</v>
      </c>
      <c r="E15" s="3">
        <f>IF(OR($B15="",E$3=""),"",IF('Mass Ion Calculations'!$D$6="Yes",IF('Mass Ion Calculations'!$D$7="Yes",('Mass Ion Calculations'!$D$18+'AA Exact Masses'!$Q$2+'AA Exact Masses'!$Q$2-'Mass Ion Calculations'!$C$7-'Mass Ion Calculations'!$C16)/2-'Mass Ion Calculations'!$D$5,('Mass Ion Calculations'!$F$18+'AA Exact Masses'!$Q$2+'AA Exact Masses'!$Q$2-'Mass Ion Calculations'!$E$7-'Mass Ion Calculations'!$E16)/2-'Mass Ion Calculations'!$D$5),IF('Mass Ion Calculations'!$D$7="Yes", ('Mass Ion Calculations'!$D$15+'AA Exact Masses'!$Q$2+'AA Exact Masses'!$Q$2-'Mass Ion Calculations'!$C$7-'Mass Ion Calculations'!$C16)/2-'Mass Ion Calculations'!$D$5,('Mass Ion Calculations'!$F$15+'AA Exact Masses'!$Q$2+'AA Exact Masses'!$Q$2-'Mass Ion Calculations'!$E$7-'Mass Ion Calculations'!$E16)/2-'Mass Ion Calculations'!$D$5)))</f>
        <v>-403.09008999999992</v>
      </c>
      <c r="F15" s="3">
        <f>IF(OR($B15="",F$3=""),"",IF('Mass Ion Calculations'!$D$6="Yes",IF('Mass Ion Calculations'!$D$7="Yes",('Mass Ion Calculations'!$D$18+'AA Exact Masses'!$Q$2+'AA Exact Masses'!$Q$2-'Mass Ion Calculations'!$C$8-'Mass Ion Calculations'!$C16)/2-'Mass Ion Calculations'!$D$5,('Mass Ion Calculations'!$F$18+'AA Exact Masses'!$Q$2+'AA Exact Masses'!$Q$2-'Mass Ion Calculations'!$E$8-'Mass Ion Calculations'!$E16)/2-'Mass Ion Calculations'!$D$5),IF('Mass Ion Calculations'!$D$7="Yes", ('Mass Ion Calculations'!$D$15+'AA Exact Masses'!$Q$2+'AA Exact Masses'!$Q$2-'Mass Ion Calculations'!$C$8-'Mass Ion Calculations'!$C16)/2-'Mass Ion Calculations'!$D$5,('Mass Ion Calculations'!$F$15+'AA Exact Masses'!$Q$2+'AA Exact Masses'!$Q$2-'Mass Ion Calculations'!$E$8-'Mass Ion Calculations'!$E16)/2-'Mass Ion Calculations'!$D$5)))</f>
        <v>-403.09008999999992</v>
      </c>
      <c r="G15" s="3">
        <f>IF(OR($B15="",G$3=""),"",IF('Mass Ion Calculations'!$D$6="Yes",IF('Mass Ion Calculations'!$D$7="Yes",('Mass Ion Calculations'!$D$18+'AA Exact Masses'!$Q$2+'AA Exact Masses'!$Q$2-'Mass Ion Calculations'!$C$9-'Mass Ion Calculations'!$C16)/2-'Mass Ion Calculations'!$D$5,('Mass Ion Calculations'!$F$18+'AA Exact Masses'!$Q$2+'AA Exact Masses'!$Q$2-'Mass Ion Calculations'!$E$9-'Mass Ion Calculations'!$E16)/2-'Mass Ion Calculations'!$D$5),IF('Mass Ion Calculations'!$D$7="Yes", ('Mass Ion Calculations'!$D$15+'AA Exact Masses'!$Q$2+'AA Exact Masses'!$Q$2-'Mass Ion Calculations'!$C$9-'Mass Ion Calculations'!$C16)/2-'Mass Ion Calculations'!$D$5,('Mass Ion Calculations'!$F$15+'AA Exact Masses'!$Q$2+'AA Exact Masses'!$Q$2-'Mass Ion Calculations'!$E$9-'Mass Ion Calculations'!$E16)/2-'Mass Ion Calculations'!$D$5)))</f>
        <v>-382.06661499999996</v>
      </c>
      <c r="H15" s="3">
        <f>IF(OR($B15="",H$3=""),"",IF('Mass Ion Calculations'!$D$6="Yes",IF('Mass Ion Calculations'!$D$7="Yes",('Mass Ion Calculations'!$D$18+'AA Exact Masses'!$Q$2+'AA Exact Masses'!$Q$2-'Mass Ion Calculations'!$C$10-'Mass Ion Calculations'!$C16)/2-'Mass Ion Calculations'!$D$5,('Mass Ion Calculations'!$F$18+'AA Exact Masses'!$Q$2+'AA Exact Masses'!$Q$2-'Mass Ion Calculations'!$E$10-'Mass Ion Calculations'!$E16)/2-'Mass Ion Calculations'!$D$5),IF('Mass Ion Calculations'!$D$7="Yes", ('Mass Ion Calculations'!$D$15+'AA Exact Masses'!$Q$2+'AA Exact Masses'!$Q$2-'Mass Ion Calculations'!$C$10-'Mass Ion Calculations'!$C16)/2-'Mass Ion Calculations'!$D$5,('Mass Ion Calculations'!$F$15+'AA Exact Masses'!$Q$2+'AA Exact Masses'!$Q$2-'Mass Ion Calculations'!$E$10-'Mass Ion Calculations'!$E16)/2-'Mass Ion Calculations'!$D$5)))</f>
        <v>-403.09008999999992</v>
      </c>
      <c r="I15" s="3">
        <f>IF(OR($B15="",I$3=""),"",IF('Mass Ion Calculations'!$D$6="Yes",IF('Mass Ion Calculations'!$D$7="Yes",('Mass Ion Calculations'!$D$18+'AA Exact Masses'!$Q$2+'AA Exact Masses'!$Q$2-'Mass Ion Calculations'!$C$11-'Mass Ion Calculations'!$C16)/2-'Mass Ion Calculations'!$D$5,('Mass Ion Calculations'!$F$18+'AA Exact Masses'!$Q$2+'AA Exact Masses'!$Q$2-'Mass Ion Calculations'!$E$11-'Mass Ion Calculations'!$E16)/2-'Mass Ion Calculations'!$D$5),IF('Mass Ion Calculations'!$D$7="Yes", ('Mass Ion Calculations'!$D$15+'AA Exact Masses'!$Q$2+'AA Exact Masses'!$Q$2-'Mass Ion Calculations'!$C$11-'Mass Ion Calculations'!$C16)/2-'Mass Ion Calculations'!$D$5,('Mass Ion Calculations'!$F$15+'AA Exact Masses'!$Q$2+'AA Exact Masses'!$Q$2-'Mass Ion Calculations'!$E$11-'Mass Ion Calculations'!$E16)/2-'Mass Ion Calculations'!$D$5)))</f>
        <v>-403.58771999999999</v>
      </c>
      <c r="J15" s="3">
        <f>IF(OR($B15="",J$3=""),"",IF('Mass Ion Calculations'!$D$6="Yes",IF('Mass Ion Calculations'!$D$7="Yes",('Mass Ion Calculations'!$D$18+'AA Exact Masses'!$Q$2+'AA Exact Masses'!$Q$2-'Mass Ion Calculations'!$C$12-'Mass Ion Calculations'!$C16)/2-'Mass Ion Calculations'!$D$5,('Mass Ion Calculations'!$F$18+'AA Exact Masses'!$Q$2+'AA Exact Masses'!$Q$2-'Mass Ion Calculations'!$E$12-'Mass Ion Calculations'!$E16)/2-'Mass Ion Calculations'!$D$5),IF('Mass Ion Calculations'!$D$7="Yes", ('Mass Ion Calculations'!$D$15+'AA Exact Masses'!$Q$2+'AA Exact Masses'!$Q$2-'Mass Ion Calculations'!$C$12-'Mass Ion Calculations'!$C16)/2-'Mass Ion Calculations'!$D$5,('Mass Ion Calculations'!$F$15+'AA Exact Masses'!$Q$2+'AA Exact Masses'!$Q$2-'Mass Ion Calculations'!$E$12-'Mass Ion Calculations'!$E16)/2-'Mass Ion Calculations'!$D$5)))</f>
        <v>-396.08226500000001</v>
      </c>
      <c r="K15" s="3">
        <f>IF(OR($B15="",K$3=""),"",IF('Mass Ion Calculations'!$D$6="Yes",IF('Mass Ion Calculations'!$D$7="Yes",('Mass Ion Calculations'!$D$18+'AA Exact Masses'!$Q$2+'AA Exact Masses'!$Q$2-'Mass Ion Calculations'!$C$13-'Mass Ion Calculations'!$C16)/2-'Mass Ion Calculations'!$D$5,('Mass Ion Calculations'!$F$18+'AA Exact Masses'!$Q$2+'AA Exact Masses'!$Q$2-'Mass Ion Calculations'!$E$13-'Mass Ion Calculations'!$E16)/2-'Mass Ion Calculations'!$D$5),IF('Mass Ion Calculations'!$D$7="Yes", ('Mass Ion Calculations'!$D$15+'AA Exact Masses'!$Q$2+'AA Exact Masses'!$Q$2-'Mass Ion Calculations'!$C$13-'Mass Ion Calculations'!$C16)/2-'Mass Ion Calculations'!$D$5,('Mass Ion Calculations'!$F$15+'AA Exact Masses'!$Q$2+'AA Exact Masses'!$Q$2-'Mass Ion Calculations'!$E$13-'Mass Ion Calculations'!$E16)/2-'Mass Ion Calculations'!$D$5)))</f>
        <v>-403.58771999999999</v>
      </c>
      <c r="L15" s="3">
        <f>IF(OR($B15="",L$3=""),"",IF('Mass Ion Calculations'!$D$6="Yes",IF('Mass Ion Calculations'!$D$7="Yes",('Mass Ion Calculations'!$D$18+'AA Exact Masses'!$Q$2+'AA Exact Masses'!$Q$2-'Mass Ion Calculations'!$C$14-'Mass Ion Calculations'!$C16)/2-'Mass Ion Calculations'!$D$5,('Mass Ion Calculations'!$F$18+'AA Exact Masses'!$Q$2+'AA Exact Masses'!$Q$2-'Mass Ion Calculations'!$E$14-'Mass Ion Calculations'!$E16)/2-'Mass Ion Calculations'!$D$5),IF('Mass Ion Calculations'!$D$7="Yes", ('Mass Ion Calculations'!$D$15+'AA Exact Masses'!$Q$2+'AA Exact Masses'!$Q$2-'Mass Ion Calculations'!$C$14-'Mass Ion Calculations'!$C16)/2-'Mass Ion Calculations'!$D$5,('Mass Ion Calculations'!$F$15+'AA Exact Masses'!$Q$2+'AA Exact Masses'!$Q$2-'Mass Ion Calculations'!$E$14-'Mass Ion Calculations'!$E16)/2-'Mass Ion Calculations'!$D$5)))</f>
        <v>-411.06935499999997</v>
      </c>
      <c r="M15" s="3">
        <f>IF(OR($B15="",M$3=""),"",IF('Mass Ion Calculations'!$D$6="Yes",IF('Mass Ion Calculations'!$D$7="Yes",('Mass Ion Calculations'!$D$18+'AA Exact Masses'!$Q$2+'AA Exact Masses'!$Q$2-'Mass Ion Calculations'!$C$15-'Mass Ion Calculations'!$C16)/2-'Mass Ion Calculations'!$D$5,('Mass Ion Calculations'!$F$18+'AA Exact Masses'!$Q$2+'AA Exact Masses'!$Q$2-'Mass Ion Calculations'!$E$15-'Mass Ion Calculations'!$E16)/2-'Mass Ion Calculations'!$D$5),IF('Mass Ion Calculations'!$D$7="Yes", ('Mass Ion Calculations'!$D$15+'AA Exact Masses'!$Q$2+'AA Exact Masses'!$Q$2-'Mass Ion Calculations'!$C$15-'Mass Ion Calculations'!$C16)/2-'Mass Ion Calculations'!$D$5,('Mass Ion Calculations'!$F$15+'AA Exact Masses'!$Q$2+'AA Exact Masses'!$Q$2-'Mass Ion Calculations'!$E$15-'Mass Ion Calculations'!$E16)/2-'Mass Ion Calculations'!$D$5)))</f>
        <v>-404.06152999999995</v>
      </c>
      <c r="N15" s="3">
        <f>IF(OR($B15="",N$3=""),"",IF('Mass Ion Calculations'!$D$6="Yes",IF('Mass Ion Calculations'!$D$7="Yes",('Mass Ion Calculations'!$D$18+'AA Exact Masses'!$Q$2+'AA Exact Masses'!$Q$2-'Mass Ion Calculations'!$C$16-'Mass Ion Calculations'!$C16)/2-'Mass Ion Calculations'!$D$5,('Mass Ion Calculations'!$F$18+'AA Exact Masses'!$Q$2+'AA Exact Masses'!$Q$2-'Mass Ion Calculations'!$E$16-'Mass Ion Calculations'!$E16)/2-'Mass Ion Calculations'!$D$5),IF('Mass Ion Calculations'!$D$7="Yes", ('Mass Ion Calculations'!$D$15+'AA Exact Masses'!$Q$2+'AA Exact Masses'!$Q$2-'Mass Ion Calculations'!$C$16-'Mass Ion Calculations'!$C16)/2-'Mass Ion Calculations'!$D$5,('Mass Ion Calculations'!$F$15+'AA Exact Masses'!$Q$2+'AA Exact Masses'!$Q$2-'Mass Ion Calculations'!$E$16-'Mass Ion Calculations'!$E16)/2-'Mass Ion Calculations'!$D$5)))</f>
        <v>-382.06661499999996</v>
      </c>
      <c r="O15" s="3">
        <f>IF(OR($B15="",O$3=""),"",IF('Mass Ion Calculations'!$D$6="Yes",IF('Mass Ion Calculations'!$D$7="Yes",('Mass Ion Calculations'!$D$18+'AA Exact Masses'!$Q$2+'AA Exact Masses'!$Q$2-'Mass Ion Calculations'!$C$17-'Mass Ion Calculations'!$C16)/2-'Mass Ion Calculations'!$D$5,('Mass Ion Calculations'!$F$18+'AA Exact Masses'!$Q$2+'AA Exact Masses'!$Q$2-'Mass Ion Calculations'!$E$17-'Mass Ion Calculations'!$E16)/2-'Mass Ion Calculations'!$D$5),IF('Mass Ion Calculations'!$D$7="Yes", ('Mass Ion Calculations'!$D$15+'AA Exact Masses'!$Q$2+'AA Exact Masses'!$Q$2-'Mass Ion Calculations'!$C$17-'Mass Ion Calculations'!$C16)/2-'Mass Ion Calculations'!$D$5,('Mass Ion Calculations'!$F$15+'AA Exact Masses'!$Q$2+'AA Exact Masses'!$Q$2-'Mass Ion Calculations'!$E$17-'Mass Ion Calculations'!$E16)/2-'Mass Ion Calculations'!$D$5)))</f>
        <v>-420.08226500000001</v>
      </c>
      <c r="P15" s="3">
        <f>IF(OR($B15="",P$3=""),"",IF('Mass Ion Calculations'!$D$6="Yes",IF('Mass Ion Calculations'!$D$7="Yes",('Mass Ion Calculations'!$D$18+'AA Exact Masses'!$Q$2+'AA Exact Masses'!$Q$2-'Mass Ion Calculations'!$C$18-'Mass Ion Calculations'!$C16)/2-'Mass Ion Calculations'!$D$5,('Mass Ion Calculations'!$F$18+'AA Exact Masses'!$Q$2+'AA Exact Masses'!$Q$2-'Mass Ion Calculations'!$E$18-'Mass Ion Calculations'!$E16)/2-'Mass Ion Calculations'!$D$5),IF('Mass Ion Calculations'!$D$7="Yes", ('Mass Ion Calculations'!$D$15+'AA Exact Masses'!$Q$2+'AA Exact Masses'!$Q$2-'Mass Ion Calculations'!$C$18-'Mass Ion Calculations'!$C16)/2-'Mass Ion Calculations'!$D$5,('Mass Ion Calculations'!$F$15+'AA Exact Masses'!$Q$2+'AA Exact Masses'!$Q$2-'Mass Ion Calculations'!$E$18-'Mass Ion Calculations'!$E16)/2-'Mass Ion Calculations'!$D$5)))</f>
        <v>-483.03058999999996</v>
      </c>
      <c r="Q15" s="3">
        <f>IF(OR($B15="",Q$3=""),"",IF('Mass Ion Calculations'!$D$6="Yes",IF('Mass Ion Calculations'!$D$7="Yes",('Mass Ion Calculations'!$D$18+'AA Exact Masses'!$Q$2+'AA Exact Masses'!$Q$2-'Mass Ion Calculations'!$C$19-'Mass Ion Calculations'!$C16)/2-'Mass Ion Calculations'!$D$5,('Mass Ion Calculations'!$F$18+'AA Exact Masses'!$Q$2+'AA Exact Masses'!$Q$2-'Mass Ion Calculations'!$E$19-'Mass Ion Calculations'!$E16)/2-'Mass Ion Calculations'!$D$5),IF('Mass Ion Calculations'!$D$7="Yes", ('Mass Ion Calculations'!$D$15+'AA Exact Masses'!$Q$2+'AA Exact Masses'!$Q$2-'Mass Ion Calculations'!$C$19-'Mass Ion Calculations'!$C16)/2-'Mass Ion Calculations'!$D$5,('Mass Ion Calculations'!$F$15+'AA Exact Masses'!$Q$2+'AA Exact Masses'!$Q$2-'Mass Ion Calculations'!$E$19-'Mass Ion Calculations'!$E16)/2-'Mass Ion Calculations'!$D$5)))</f>
        <v>-396.08226500000001</v>
      </c>
      <c r="R15" s="3">
        <f>IF(OR($B15="",R$3=""),"",IF('Mass Ion Calculations'!$D$6="Yes",IF('Mass Ion Calculations'!$D$7="Yes",('Mass Ion Calculations'!$D$18+'AA Exact Masses'!$Q$2+'AA Exact Masses'!$Q$2-'Mass Ion Calculations'!$C$20-'Mass Ion Calculations'!$C16)/2-'Mass Ion Calculations'!$D$5,('Mass Ion Calculations'!$F$18+'AA Exact Masses'!$Q$2+'AA Exact Masses'!$Q$2-'Mass Ion Calculations'!$E$20-'Mass Ion Calculations'!$E16)/2-'Mass Ion Calculations'!$D$5),IF('Mass Ion Calculations'!$D$7="Yes", ('Mass Ion Calculations'!$D$15+'AA Exact Masses'!$Q$2+'AA Exact Masses'!$Q$2-'Mass Ion Calculations'!$C$20-'Mass Ion Calculations'!$C16)/2-'Mass Ion Calculations'!$D$5,('Mass Ion Calculations'!$F$15+'AA Exact Masses'!$Q$2+'AA Exact Masses'!$Q$2-'Mass Ion Calculations'!$E$20-'Mass Ion Calculations'!$E16)/2-'Mass Ion Calculations'!$D$5)))</f>
        <v>-403.09008999999992</v>
      </c>
      <c r="S15" s="3" t="str">
        <f>IF(OR($B15="",S$3=""),"",IF('Mass Ion Calculations'!$D$6="Yes",IF('Mass Ion Calculations'!$D$7="Yes",('Mass Ion Calculations'!$D$18+'AA Exact Masses'!$Q$2+'AA Exact Masses'!$Q$2-'Mass Ion Calculations'!$C$21-'Mass Ion Calculations'!$C16)/2-'Mass Ion Calculations'!$D$5,('Mass Ion Calculations'!$F$18+'AA Exact Masses'!$Q$2+'AA Exact Masses'!$Q$2-'Mass Ion Calculations'!$E$21-'Mass Ion Calculations'!$E16)/2-'Mass Ion Calculations'!$D$5),IF('Mass Ion Calculations'!$D$7="Yes", ('Mass Ion Calculations'!$D$15+'AA Exact Masses'!$Q$2+'AA Exact Masses'!$Q$2-'Mass Ion Calculations'!$C$21-'Mass Ion Calculations'!$C16)/2-'Mass Ion Calculations'!$D$5,('Mass Ion Calculations'!$F$15+'AA Exact Masses'!$Q$2+'AA Exact Masses'!$Q$2-'Mass Ion Calculations'!$E$21-'Mass Ion Calculations'!$E16)/2-'Mass Ion Calculations'!$D$5)))</f>
        <v/>
      </c>
      <c r="T15" s="3" t="e">
        <f>IF(OR($B15="",T$3=""),"",IF('Mass Ion Calculations'!$D$6="Yes",IF('Mass Ion Calculations'!$D$7="Yes",('Mass Ion Calculations'!$D$18+'AA Exact Masses'!$Q$2+'AA Exact Masses'!$Q$2-'Mass Ion Calculations'!$C$22-'Mass Ion Calculations'!$C16)/2-'Mass Ion Calculations'!$D$5,('Mass Ion Calculations'!$F$18+'AA Exact Masses'!$Q$2+'AA Exact Masses'!$Q$2-'Mass Ion Calculations'!$E$22-'Mass Ion Calculations'!$E16)/2-'Mass Ion Calculations'!$D$5),IF('Mass Ion Calculations'!$D$7="Yes", ('Mass Ion Calculations'!$D$15+'AA Exact Masses'!$Q$2+'AA Exact Masses'!$Q$2-'Mass Ion Calculations'!$C$22-'Mass Ion Calculations'!$C16)/2-'Mass Ion Calculations'!$D$5,('Mass Ion Calculations'!$F$15+'AA Exact Masses'!$Q$2+'AA Exact Masses'!$Q$2-'Mass Ion Calculations'!$E$22-'Mass Ion Calculations'!$E16)/2-'Mass Ion Calculations'!$D$5)))</f>
        <v>#VALUE!</v>
      </c>
      <c r="U15" s="3" t="e">
        <f>IF(OR($B15="",U$3=""),"",IF('Mass Ion Calculations'!$D$6="Yes",IF('Mass Ion Calculations'!$D$7="Yes",('Mass Ion Calculations'!$D$18+'AA Exact Masses'!$Q$2+'AA Exact Masses'!$Q$2-'Mass Ion Calculations'!$C$23-'Mass Ion Calculations'!$C16)/2-'Mass Ion Calculations'!$D$5,('Mass Ion Calculations'!$F$18+'AA Exact Masses'!$Q$2+'AA Exact Masses'!$Q$2-'Mass Ion Calculations'!$E$23-'Mass Ion Calculations'!$E16)/2-'Mass Ion Calculations'!$D$5),IF('Mass Ion Calculations'!$D$7="Yes", ('Mass Ion Calculations'!$D$15+'AA Exact Masses'!$Q$2+'AA Exact Masses'!$Q$2-'Mass Ion Calculations'!$C$23-'Mass Ion Calculations'!$C16)/2-'Mass Ion Calculations'!$D$5,('Mass Ion Calculations'!$F$15+'AA Exact Masses'!$Q$2+'AA Exact Masses'!$Q$2-'Mass Ion Calculations'!$E$23-'Mass Ion Calculations'!$E16)/2-'Mass Ion Calculations'!$D$5)))</f>
        <v>#VALUE!</v>
      </c>
      <c r="V15" s="3" t="str">
        <f>IF(OR($B15="",V$3=""),"",IF('Mass Ion Calculations'!$D$6="Yes",IF('Mass Ion Calculations'!$D$7="Yes",('Mass Ion Calculations'!$D$18+'AA Exact Masses'!$Q$2+'AA Exact Masses'!$Q$2-'Mass Ion Calculations'!$C$24-'Mass Ion Calculations'!$C16)/2-'Mass Ion Calculations'!$D$5,('Mass Ion Calculations'!$F$18+'AA Exact Masses'!$Q$2+'AA Exact Masses'!$Q$2-'Mass Ion Calculations'!$E$24-'Mass Ion Calculations'!$E16)/2-'Mass Ion Calculations'!$D$5),IF('Mass Ion Calculations'!$D$7="Yes", ('Mass Ion Calculations'!$D$15+'AA Exact Masses'!$Q$2+'AA Exact Masses'!$Q$2-'Mass Ion Calculations'!$C$24-'Mass Ion Calculations'!$C16)/2-'Mass Ion Calculations'!$D$5,('Mass Ion Calculations'!$F$15+'AA Exact Masses'!$Q$2+'AA Exact Masses'!$Q$2-'Mass Ion Calculations'!$E$24-'Mass Ion Calculations'!$E16)/2-'Mass Ion Calculations'!$D$5)))</f>
        <v/>
      </c>
      <c r="W15" s="3" t="str">
        <f>IF(OR($B15="",W$3=""),"",IF('Mass Ion Calculations'!$D$6="Yes",IF('Mass Ion Calculations'!$D$7="Yes",('Mass Ion Calculations'!$D$18+'AA Exact Masses'!$Q$2+'AA Exact Masses'!$Q$2-'Mass Ion Calculations'!$C$25-'Mass Ion Calculations'!$C16)/2-'Mass Ion Calculations'!$D$5,('Mass Ion Calculations'!$F$18+'AA Exact Masses'!$Q$2+'AA Exact Masses'!$Q$2-'Mass Ion Calculations'!$E$25-'Mass Ion Calculations'!$E16)/2-'Mass Ion Calculations'!$D$5),IF('Mass Ion Calculations'!$D$7="Yes", ('Mass Ion Calculations'!$D$15+'AA Exact Masses'!$Q$2+'AA Exact Masses'!$Q$2-'Mass Ion Calculations'!$C$25-'Mass Ion Calculations'!$C16)/2-'Mass Ion Calculations'!$D$5,('Mass Ion Calculations'!$F$15+'AA Exact Masses'!$Q$2+'AA Exact Masses'!$Q$2-'Mass Ion Calculations'!$E$25-'Mass Ion Calculations'!$E16)/2-'Mass Ion Calculations'!$D$5)))</f>
        <v/>
      </c>
      <c r="X15" s="3" t="str">
        <f>IF(OR($B15="",X$3=""),"",IF('Mass Ion Calculations'!$D$6="Yes",IF('Mass Ion Calculations'!$D$7="Yes",('Mass Ion Calculations'!$D$18+'AA Exact Masses'!$Q$2+'AA Exact Masses'!$Q$2-'Mass Ion Calculations'!$C$26-'Mass Ion Calculations'!$C16)/2-'Mass Ion Calculations'!$D$5,('Mass Ion Calculations'!$F$18+'AA Exact Masses'!$Q$2+'AA Exact Masses'!$Q$2-'Mass Ion Calculations'!$E$26-'Mass Ion Calculations'!$E16)/2-'Mass Ion Calculations'!$D$5),IF('Mass Ion Calculations'!$D$7="Yes", ('Mass Ion Calculations'!$D$15+'AA Exact Masses'!$Q$2+'AA Exact Masses'!$Q$2-'Mass Ion Calculations'!$C$26-'Mass Ion Calculations'!$C16)/2-'Mass Ion Calculations'!$D$5,('Mass Ion Calculations'!$F$15+'AA Exact Masses'!$Q$2+'AA Exact Masses'!$Q$2-'Mass Ion Calculations'!$E$26-'Mass Ion Calculations'!$E16)/2-'Mass Ion Calculations'!$D$5)))</f>
        <v/>
      </c>
      <c r="Y15" s="3" t="str">
        <f>IF(OR($B15="",Y$3=""),"",IF('Mass Ion Calculations'!$D$6="Yes",IF('Mass Ion Calculations'!$D$7="Yes",('Mass Ion Calculations'!$D$18+'AA Exact Masses'!$Q$2+'AA Exact Masses'!$Q$2-'Mass Ion Calculations'!$C$27-'Mass Ion Calculations'!$C16)/2-'Mass Ion Calculations'!$D$5,('Mass Ion Calculations'!$F$18+'AA Exact Masses'!$Q$2+'AA Exact Masses'!$Q$2-'Mass Ion Calculations'!$E$27-'Mass Ion Calculations'!$E16)/2-'Mass Ion Calculations'!$D$5),IF('Mass Ion Calculations'!$D$7="Yes", ('Mass Ion Calculations'!$D$15+'AA Exact Masses'!$Q$2+'AA Exact Masses'!$Q$2-'Mass Ion Calculations'!$C$27-'Mass Ion Calculations'!$C16)/2-'Mass Ion Calculations'!$D$5,('Mass Ion Calculations'!$F$15+'AA Exact Masses'!$Q$2+'AA Exact Masses'!$Q$2-'Mass Ion Calculations'!$E$27-'Mass Ion Calculations'!$E16)/2-'Mass Ion Calculations'!$D$5)))</f>
        <v/>
      </c>
      <c r="Z15" s="3" t="str">
        <f>IF(OR($B15="",Z$3=""),"",IF('Mass Ion Calculations'!$D$6="Yes",IF('Mass Ion Calculations'!$D$7="Yes",('Mass Ion Calculations'!$D$18+'AA Exact Masses'!$Q$2+'AA Exact Masses'!$Q$2-'Mass Ion Calculations'!$C$28-'Mass Ion Calculations'!$C16)/2-'Mass Ion Calculations'!$D$5,('Mass Ion Calculations'!$F$18+'AA Exact Masses'!$Q$2+'AA Exact Masses'!$Q$2-'Mass Ion Calculations'!$E$28-'Mass Ion Calculations'!$E16)/2-'Mass Ion Calculations'!$D$5),IF('Mass Ion Calculations'!$D$7="Yes", ('Mass Ion Calculations'!$D$15+'AA Exact Masses'!$Q$2+'AA Exact Masses'!$Q$2-'Mass Ion Calculations'!$C$28-'Mass Ion Calculations'!$C16)/2-'Mass Ion Calculations'!$D$5,('Mass Ion Calculations'!$F$15+'AA Exact Masses'!$Q$2+'AA Exact Masses'!$Q$2-'Mass Ion Calculations'!$E$28-'Mass Ion Calculations'!$E16)/2-'Mass Ion Calculations'!$D$5)))</f>
        <v/>
      </c>
    </row>
    <row r="16" spans="2:26" x14ac:dyDescent="0.25">
      <c r="B16" s="4" t="str">
        <f>IF('Mass Ion Calculations'!B17="","", 'Mass Ion Calculations'!B17)</f>
        <v>Phe</v>
      </c>
      <c r="C16" s="3">
        <f>IF(OR($B16="",C$3=""),"",IF('Mass Ion Calculations'!$D$6="Yes",IF('Mass Ion Calculations'!$D$7="Yes",('Mass Ion Calculations'!$D$18+'AA Exact Masses'!$Q$2+'AA Exact Masses'!$Q$2-'Mass Ion Calculations'!$C$5-'Mass Ion Calculations'!$C17)/2-'Mass Ion Calculations'!$D$5,('Mass Ion Calculations'!$F$18+'AA Exact Masses'!$Q$2+'AA Exact Masses'!$Q$2-'Mass Ion Calculations'!$E$5-'Mass Ion Calculations'!$E17)/2-'Mass Ion Calculations'!$D$5),IF('Mass Ion Calculations'!$D$7="Yes", ('Mass Ion Calculations'!$D$15+'AA Exact Masses'!$Q$2+'AA Exact Masses'!$Q$2-'Mass Ion Calculations'!$C$5-'Mass Ion Calculations'!$C17)/2-'Mass Ion Calculations'!$D$5,('Mass Ion Calculations'!$F$15+'AA Exact Masses'!$Q$2+'AA Exact Masses'!$Q$2-'Mass Ion Calculations'!$E$5-'Mass Ion Calculations'!$E17)/2-'Mass Ion Calculations'!$D$5)))</f>
        <v>-441.60337000000004</v>
      </c>
      <c r="D16" s="3">
        <f>IF(OR($B16="",D$3=""),"",IF('Mass Ion Calculations'!$D$6="Yes",IF('Mass Ion Calculations'!$D$7="Yes",('Mass Ion Calculations'!$D$18+'AA Exact Masses'!$Q$2+'AA Exact Masses'!$Q$2-'Mass Ion Calculations'!$C$6-'Mass Ion Calculations'!$C17)/2-'Mass Ion Calculations'!$D$5,('Mass Ion Calculations'!$F$18+'AA Exact Masses'!$Q$2+'AA Exact Masses'!$Q$2-'Mass Ion Calculations'!$E$6-'Mass Ion Calculations'!$E17)/2-'Mass Ion Calculations'!$D$5),IF('Mass Ion Calculations'!$D$7="Yes", ('Mass Ion Calculations'!$D$15+'AA Exact Masses'!$Q$2+'AA Exact Masses'!$Q$2-'Mass Ion Calculations'!$C$6-'Mass Ion Calculations'!$C17)/2-'Mass Ion Calculations'!$D$5,('Mass Ion Calculations'!$F$15+'AA Exact Masses'!$Q$2+'AA Exact Masses'!$Q$2-'Mass Ion Calculations'!$E$6-'Mass Ion Calculations'!$E17)/2-'Mass Ion Calculations'!$D$5)))</f>
        <v>-420.08226500000001</v>
      </c>
      <c r="E16" s="3">
        <f>IF(OR($B16="",E$3=""),"",IF('Mass Ion Calculations'!$D$6="Yes",IF('Mass Ion Calculations'!$D$7="Yes",('Mass Ion Calculations'!$D$18+'AA Exact Masses'!$Q$2+'AA Exact Masses'!$Q$2-'Mass Ion Calculations'!$C$7-'Mass Ion Calculations'!$C17)/2-'Mass Ion Calculations'!$D$5,('Mass Ion Calculations'!$F$18+'AA Exact Masses'!$Q$2+'AA Exact Masses'!$Q$2-'Mass Ion Calculations'!$E$7-'Mass Ion Calculations'!$E17)/2-'Mass Ion Calculations'!$D$5),IF('Mass Ion Calculations'!$D$7="Yes", ('Mass Ion Calculations'!$D$15+'AA Exact Masses'!$Q$2+'AA Exact Masses'!$Q$2-'Mass Ion Calculations'!$C$7-'Mass Ion Calculations'!$C17)/2-'Mass Ion Calculations'!$D$5,('Mass Ion Calculations'!$F$15+'AA Exact Masses'!$Q$2+'AA Exact Masses'!$Q$2-'Mass Ion Calculations'!$E$7-'Mass Ion Calculations'!$E17)/2-'Mass Ion Calculations'!$D$5)))</f>
        <v>-441.10573999999997</v>
      </c>
      <c r="F16" s="3">
        <f>IF(OR($B16="",F$3=""),"",IF('Mass Ion Calculations'!$D$6="Yes",IF('Mass Ion Calculations'!$D$7="Yes",('Mass Ion Calculations'!$D$18+'AA Exact Masses'!$Q$2+'AA Exact Masses'!$Q$2-'Mass Ion Calculations'!$C$8-'Mass Ion Calculations'!$C17)/2-'Mass Ion Calculations'!$D$5,('Mass Ion Calculations'!$F$18+'AA Exact Masses'!$Q$2+'AA Exact Masses'!$Q$2-'Mass Ion Calculations'!$E$8-'Mass Ion Calculations'!$E17)/2-'Mass Ion Calculations'!$D$5),IF('Mass Ion Calculations'!$D$7="Yes", ('Mass Ion Calculations'!$D$15+'AA Exact Masses'!$Q$2+'AA Exact Masses'!$Q$2-'Mass Ion Calculations'!$C$8-'Mass Ion Calculations'!$C17)/2-'Mass Ion Calculations'!$D$5,('Mass Ion Calculations'!$F$15+'AA Exact Masses'!$Q$2+'AA Exact Masses'!$Q$2-'Mass Ion Calculations'!$E$8-'Mass Ion Calculations'!$E17)/2-'Mass Ion Calculations'!$D$5)))</f>
        <v>-441.10573999999997</v>
      </c>
      <c r="G16" s="3">
        <f>IF(OR($B16="",G$3=""),"",IF('Mass Ion Calculations'!$D$6="Yes",IF('Mass Ion Calculations'!$D$7="Yes",('Mass Ion Calculations'!$D$18+'AA Exact Masses'!$Q$2+'AA Exact Masses'!$Q$2-'Mass Ion Calculations'!$C$9-'Mass Ion Calculations'!$C17)/2-'Mass Ion Calculations'!$D$5,('Mass Ion Calculations'!$F$18+'AA Exact Masses'!$Q$2+'AA Exact Masses'!$Q$2-'Mass Ion Calculations'!$E$9-'Mass Ion Calculations'!$E17)/2-'Mass Ion Calculations'!$D$5),IF('Mass Ion Calculations'!$D$7="Yes", ('Mass Ion Calculations'!$D$15+'AA Exact Masses'!$Q$2+'AA Exact Masses'!$Q$2-'Mass Ion Calculations'!$C$9-'Mass Ion Calculations'!$C17)/2-'Mass Ion Calculations'!$D$5,('Mass Ion Calculations'!$F$15+'AA Exact Masses'!$Q$2+'AA Exact Masses'!$Q$2-'Mass Ion Calculations'!$E$9-'Mass Ion Calculations'!$E17)/2-'Mass Ion Calculations'!$D$5)))</f>
        <v>-420.08226500000001</v>
      </c>
      <c r="H16" s="3">
        <f>IF(OR($B16="",H$3=""),"",IF('Mass Ion Calculations'!$D$6="Yes",IF('Mass Ion Calculations'!$D$7="Yes",('Mass Ion Calculations'!$D$18+'AA Exact Masses'!$Q$2+'AA Exact Masses'!$Q$2-'Mass Ion Calculations'!$C$10-'Mass Ion Calculations'!$C17)/2-'Mass Ion Calculations'!$D$5,('Mass Ion Calculations'!$F$18+'AA Exact Masses'!$Q$2+'AA Exact Masses'!$Q$2-'Mass Ion Calculations'!$E$10-'Mass Ion Calculations'!$E17)/2-'Mass Ion Calculations'!$D$5),IF('Mass Ion Calculations'!$D$7="Yes", ('Mass Ion Calculations'!$D$15+'AA Exact Masses'!$Q$2+'AA Exact Masses'!$Q$2-'Mass Ion Calculations'!$C$10-'Mass Ion Calculations'!$C17)/2-'Mass Ion Calculations'!$D$5,('Mass Ion Calculations'!$F$15+'AA Exact Masses'!$Q$2+'AA Exact Masses'!$Q$2-'Mass Ion Calculations'!$E$10-'Mass Ion Calculations'!$E17)/2-'Mass Ion Calculations'!$D$5)))</f>
        <v>-441.10573999999997</v>
      </c>
      <c r="I16" s="3">
        <f>IF(OR($B16="",I$3=""),"",IF('Mass Ion Calculations'!$D$6="Yes",IF('Mass Ion Calculations'!$D$7="Yes",('Mass Ion Calculations'!$D$18+'AA Exact Masses'!$Q$2+'AA Exact Masses'!$Q$2-'Mass Ion Calculations'!$C$11-'Mass Ion Calculations'!$C17)/2-'Mass Ion Calculations'!$D$5,('Mass Ion Calculations'!$F$18+'AA Exact Masses'!$Q$2+'AA Exact Masses'!$Q$2-'Mass Ion Calculations'!$E$11-'Mass Ion Calculations'!$E17)/2-'Mass Ion Calculations'!$D$5),IF('Mass Ion Calculations'!$D$7="Yes", ('Mass Ion Calculations'!$D$15+'AA Exact Masses'!$Q$2+'AA Exact Masses'!$Q$2-'Mass Ion Calculations'!$C$11-'Mass Ion Calculations'!$C17)/2-'Mass Ion Calculations'!$D$5,('Mass Ion Calculations'!$F$15+'AA Exact Masses'!$Q$2+'AA Exact Masses'!$Q$2-'Mass Ion Calculations'!$E$11-'Mass Ion Calculations'!$E17)/2-'Mass Ion Calculations'!$D$5)))</f>
        <v>-441.60337000000004</v>
      </c>
      <c r="J16" s="3">
        <f>IF(OR($B16="",J$3=""),"",IF('Mass Ion Calculations'!$D$6="Yes",IF('Mass Ion Calculations'!$D$7="Yes",('Mass Ion Calculations'!$D$18+'AA Exact Masses'!$Q$2+'AA Exact Masses'!$Q$2-'Mass Ion Calculations'!$C$12-'Mass Ion Calculations'!$C17)/2-'Mass Ion Calculations'!$D$5,('Mass Ion Calculations'!$F$18+'AA Exact Masses'!$Q$2+'AA Exact Masses'!$Q$2-'Mass Ion Calculations'!$E$12-'Mass Ion Calculations'!$E17)/2-'Mass Ion Calculations'!$D$5),IF('Mass Ion Calculations'!$D$7="Yes", ('Mass Ion Calculations'!$D$15+'AA Exact Masses'!$Q$2+'AA Exact Masses'!$Q$2-'Mass Ion Calculations'!$C$12-'Mass Ion Calculations'!$C17)/2-'Mass Ion Calculations'!$D$5,('Mass Ion Calculations'!$F$15+'AA Exact Masses'!$Q$2+'AA Exact Masses'!$Q$2-'Mass Ion Calculations'!$E$12-'Mass Ion Calculations'!$E17)/2-'Mass Ion Calculations'!$D$5)))</f>
        <v>-434.09791500000006</v>
      </c>
      <c r="K16" s="3">
        <f>IF(OR($B16="",K$3=""),"",IF('Mass Ion Calculations'!$D$6="Yes",IF('Mass Ion Calculations'!$D$7="Yes",('Mass Ion Calculations'!$D$18+'AA Exact Masses'!$Q$2+'AA Exact Masses'!$Q$2-'Mass Ion Calculations'!$C$13-'Mass Ion Calculations'!$C17)/2-'Mass Ion Calculations'!$D$5,('Mass Ion Calculations'!$F$18+'AA Exact Masses'!$Q$2+'AA Exact Masses'!$Q$2-'Mass Ion Calculations'!$E$13-'Mass Ion Calculations'!$E17)/2-'Mass Ion Calculations'!$D$5),IF('Mass Ion Calculations'!$D$7="Yes", ('Mass Ion Calculations'!$D$15+'AA Exact Masses'!$Q$2+'AA Exact Masses'!$Q$2-'Mass Ion Calculations'!$C$13-'Mass Ion Calculations'!$C17)/2-'Mass Ion Calculations'!$D$5,('Mass Ion Calculations'!$F$15+'AA Exact Masses'!$Q$2+'AA Exact Masses'!$Q$2-'Mass Ion Calculations'!$E$13-'Mass Ion Calculations'!$E17)/2-'Mass Ion Calculations'!$D$5)))</f>
        <v>-441.60337000000004</v>
      </c>
      <c r="L16" s="3">
        <f>IF(OR($B16="",L$3=""),"",IF('Mass Ion Calculations'!$D$6="Yes",IF('Mass Ion Calculations'!$D$7="Yes",('Mass Ion Calculations'!$D$18+'AA Exact Masses'!$Q$2+'AA Exact Masses'!$Q$2-'Mass Ion Calculations'!$C$14-'Mass Ion Calculations'!$C17)/2-'Mass Ion Calculations'!$D$5,('Mass Ion Calculations'!$F$18+'AA Exact Masses'!$Q$2+'AA Exact Masses'!$Q$2-'Mass Ion Calculations'!$E$14-'Mass Ion Calculations'!$E17)/2-'Mass Ion Calculations'!$D$5),IF('Mass Ion Calculations'!$D$7="Yes", ('Mass Ion Calculations'!$D$15+'AA Exact Masses'!$Q$2+'AA Exact Masses'!$Q$2-'Mass Ion Calculations'!$C$14-'Mass Ion Calculations'!$C17)/2-'Mass Ion Calculations'!$D$5,('Mass Ion Calculations'!$F$15+'AA Exact Masses'!$Q$2+'AA Exact Masses'!$Q$2-'Mass Ion Calculations'!$E$14-'Mass Ion Calculations'!$E17)/2-'Mass Ion Calculations'!$D$5)))</f>
        <v>-449.08500500000002</v>
      </c>
      <c r="M16" s="3">
        <f>IF(OR($B16="",M$3=""),"",IF('Mass Ion Calculations'!$D$6="Yes",IF('Mass Ion Calculations'!$D$7="Yes",('Mass Ion Calculations'!$D$18+'AA Exact Masses'!$Q$2+'AA Exact Masses'!$Q$2-'Mass Ion Calculations'!$C$15-'Mass Ion Calculations'!$C17)/2-'Mass Ion Calculations'!$D$5,('Mass Ion Calculations'!$F$18+'AA Exact Masses'!$Q$2+'AA Exact Masses'!$Q$2-'Mass Ion Calculations'!$E$15-'Mass Ion Calculations'!$E17)/2-'Mass Ion Calculations'!$D$5),IF('Mass Ion Calculations'!$D$7="Yes", ('Mass Ion Calculations'!$D$15+'AA Exact Masses'!$Q$2+'AA Exact Masses'!$Q$2-'Mass Ion Calculations'!$C$15-'Mass Ion Calculations'!$C17)/2-'Mass Ion Calculations'!$D$5,('Mass Ion Calculations'!$F$15+'AA Exact Masses'!$Q$2+'AA Exact Masses'!$Q$2-'Mass Ion Calculations'!$E$15-'Mass Ion Calculations'!$E17)/2-'Mass Ion Calculations'!$D$5)))</f>
        <v>-442.07718</v>
      </c>
      <c r="N16" s="3">
        <f>IF(OR($B16="",N$3=""),"",IF('Mass Ion Calculations'!$D$6="Yes",IF('Mass Ion Calculations'!$D$7="Yes",('Mass Ion Calculations'!$D$18+'AA Exact Masses'!$Q$2+'AA Exact Masses'!$Q$2-'Mass Ion Calculations'!$C$16-'Mass Ion Calculations'!$C17)/2-'Mass Ion Calculations'!$D$5,('Mass Ion Calculations'!$F$18+'AA Exact Masses'!$Q$2+'AA Exact Masses'!$Q$2-'Mass Ion Calculations'!$E$16-'Mass Ion Calculations'!$E17)/2-'Mass Ion Calculations'!$D$5),IF('Mass Ion Calculations'!$D$7="Yes", ('Mass Ion Calculations'!$D$15+'AA Exact Masses'!$Q$2+'AA Exact Masses'!$Q$2-'Mass Ion Calculations'!$C$16-'Mass Ion Calculations'!$C17)/2-'Mass Ion Calculations'!$D$5,('Mass Ion Calculations'!$F$15+'AA Exact Masses'!$Q$2+'AA Exact Masses'!$Q$2-'Mass Ion Calculations'!$E$16-'Mass Ion Calculations'!$E17)/2-'Mass Ion Calculations'!$D$5)))</f>
        <v>-420.08226500000001</v>
      </c>
      <c r="O16" s="3">
        <f>IF(OR($B16="",O$3=""),"",IF('Mass Ion Calculations'!$D$6="Yes",IF('Mass Ion Calculations'!$D$7="Yes",('Mass Ion Calculations'!$D$18+'AA Exact Masses'!$Q$2+'AA Exact Masses'!$Q$2-'Mass Ion Calculations'!$C$17-'Mass Ion Calculations'!$C17)/2-'Mass Ion Calculations'!$D$5,('Mass Ion Calculations'!$F$18+'AA Exact Masses'!$Q$2+'AA Exact Masses'!$Q$2-'Mass Ion Calculations'!$E$17-'Mass Ion Calculations'!$E17)/2-'Mass Ion Calculations'!$D$5),IF('Mass Ion Calculations'!$D$7="Yes", ('Mass Ion Calculations'!$D$15+'AA Exact Masses'!$Q$2+'AA Exact Masses'!$Q$2-'Mass Ion Calculations'!$C$17-'Mass Ion Calculations'!$C17)/2-'Mass Ion Calculations'!$D$5,('Mass Ion Calculations'!$F$15+'AA Exact Masses'!$Q$2+'AA Exact Masses'!$Q$2-'Mass Ion Calculations'!$E$17-'Mass Ion Calculations'!$E17)/2-'Mass Ion Calculations'!$D$5)))</f>
        <v>-458.09791500000006</v>
      </c>
      <c r="P16" s="3">
        <f>IF(OR($B16="",P$3=""),"",IF('Mass Ion Calculations'!$D$6="Yes",IF('Mass Ion Calculations'!$D$7="Yes",('Mass Ion Calculations'!$D$18+'AA Exact Masses'!$Q$2+'AA Exact Masses'!$Q$2-'Mass Ion Calculations'!$C$18-'Mass Ion Calculations'!$C17)/2-'Mass Ion Calculations'!$D$5,('Mass Ion Calculations'!$F$18+'AA Exact Masses'!$Q$2+'AA Exact Masses'!$Q$2-'Mass Ion Calculations'!$E$18-'Mass Ion Calculations'!$E17)/2-'Mass Ion Calculations'!$D$5),IF('Mass Ion Calculations'!$D$7="Yes", ('Mass Ion Calculations'!$D$15+'AA Exact Masses'!$Q$2+'AA Exact Masses'!$Q$2-'Mass Ion Calculations'!$C$18-'Mass Ion Calculations'!$C17)/2-'Mass Ion Calculations'!$D$5,('Mass Ion Calculations'!$F$15+'AA Exact Masses'!$Q$2+'AA Exact Masses'!$Q$2-'Mass Ion Calculations'!$E$18-'Mass Ion Calculations'!$E17)/2-'Mass Ion Calculations'!$D$5)))</f>
        <v>-521.04624000000001</v>
      </c>
      <c r="Q16" s="3">
        <f>IF(OR($B16="",Q$3=""),"",IF('Mass Ion Calculations'!$D$6="Yes",IF('Mass Ion Calculations'!$D$7="Yes",('Mass Ion Calculations'!$D$18+'AA Exact Masses'!$Q$2+'AA Exact Masses'!$Q$2-'Mass Ion Calculations'!$C$19-'Mass Ion Calculations'!$C17)/2-'Mass Ion Calculations'!$D$5,('Mass Ion Calculations'!$F$18+'AA Exact Masses'!$Q$2+'AA Exact Masses'!$Q$2-'Mass Ion Calculations'!$E$19-'Mass Ion Calculations'!$E17)/2-'Mass Ion Calculations'!$D$5),IF('Mass Ion Calculations'!$D$7="Yes", ('Mass Ion Calculations'!$D$15+'AA Exact Masses'!$Q$2+'AA Exact Masses'!$Q$2-'Mass Ion Calculations'!$C$19-'Mass Ion Calculations'!$C17)/2-'Mass Ion Calculations'!$D$5,('Mass Ion Calculations'!$F$15+'AA Exact Masses'!$Q$2+'AA Exact Masses'!$Q$2-'Mass Ion Calculations'!$E$19-'Mass Ion Calculations'!$E17)/2-'Mass Ion Calculations'!$D$5)))</f>
        <v>-434.09791500000006</v>
      </c>
      <c r="R16" s="3">
        <f>IF(OR($B16="",R$3=""),"",IF('Mass Ion Calculations'!$D$6="Yes",IF('Mass Ion Calculations'!$D$7="Yes",('Mass Ion Calculations'!$D$18+'AA Exact Masses'!$Q$2+'AA Exact Masses'!$Q$2-'Mass Ion Calculations'!$C$20-'Mass Ion Calculations'!$C17)/2-'Mass Ion Calculations'!$D$5,('Mass Ion Calculations'!$F$18+'AA Exact Masses'!$Q$2+'AA Exact Masses'!$Q$2-'Mass Ion Calculations'!$E$20-'Mass Ion Calculations'!$E17)/2-'Mass Ion Calculations'!$D$5),IF('Mass Ion Calculations'!$D$7="Yes", ('Mass Ion Calculations'!$D$15+'AA Exact Masses'!$Q$2+'AA Exact Masses'!$Q$2-'Mass Ion Calculations'!$C$20-'Mass Ion Calculations'!$C17)/2-'Mass Ion Calculations'!$D$5,('Mass Ion Calculations'!$F$15+'AA Exact Masses'!$Q$2+'AA Exact Masses'!$Q$2-'Mass Ion Calculations'!$E$20-'Mass Ion Calculations'!$E17)/2-'Mass Ion Calculations'!$D$5)))</f>
        <v>-441.10573999999997</v>
      </c>
      <c r="S16" s="3" t="str">
        <f>IF(OR($B16="",S$3=""),"",IF('Mass Ion Calculations'!$D$6="Yes",IF('Mass Ion Calculations'!$D$7="Yes",('Mass Ion Calculations'!$D$18+'AA Exact Masses'!$Q$2+'AA Exact Masses'!$Q$2-'Mass Ion Calculations'!$C$21-'Mass Ion Calculations'!$C17)/2-'Mass Ion Calculations'!$D$5,('Mass Ion Calculations'!$F$18+'AA Exact Masses'!$Q$2+'AA Exact Masses'!$Q$2-'Mass Ion Calculations'!$E$21-'Mass Ion Calculations'!$E17)/2-'Mass Ion Calculations'!$D$5),IF('Mass Ion Calculations'!$D$7="Yes", ('Mass Ion Calculations'!$D$15+'AA Exact Masses'!$Q$2+'AA Exact Masses'!$Q$2-'Mass Ion Calculations'!$C$21-'Mass Ion Calculations'!$C17)/2-'Mass Ion Calculations'!$D$5,('Mass Ion Calculations'!$F$15+'AA Exact Masses'!$Q$2+'AA Exact Masses'!$Q$2-'Mass Ion Calculations'!$E$21-'Mass Ion Calculations'!$E17)/2-'Mass Ion Calculations'!$D$5)))</f>
        <v/>
      </c>
      <c r="T16" s="3" t="e">
        <f>IF(OR($B16="",T$3=""),"",IF('Mass Ion Calculations'!$D$6="Yes",IF('Mass Ion Calculations'!$D$7="Yes",('Mass Ion Calculations'!$D$18+'AA Exact Masses'!$Q$2+'AA Exact Masses'!$Q$2-'Mass Ion Calculations'!$C$22-'Mass Ion Calculations'!$C17)/2-'Mass Ion Calculations'!$D$5,('Mass Ion Calculations'!$F$18+'AA Exact Masses'!$Q$2+'AA Exact Masses'!$Q$2-'Mass Ion Calculations'!$E$22-'Mass Ion Calculations'!$E17)/2-'Mass Ion Calculations'!$D$5),IF('Mass Ion Calculations'!$D$7="Yes", ('Mass Ion Calculations'!$D$15+'AA Exact Masses'!$Q$2+'AA Exact Masses'!$Q$2-'Mass Ion Calculations'!$C$22-'Mass Ion Calculations'!$C17)/2-'Mass Ion Calculations'!$D$5,('Mass Ion Calculations'!$F$15+'AA Exact Masses'!$Q$2+'AA Exact Masses'!$Q$2-'Mass Ion Calculations'!$E$22-'Mass Ion Calculations'!$E17)/2-'Mass Ion Calculations'!$D$5)))</f>
        <v>#VALUE!</v>
      </c>
      <c r="U16" s="3" t="e">
        <f>IF(OR($B16="",U$3=""),"",IF('Mass Ion Calculations'!$D$6="Yes",IF('Mass Ion Calculations'!$D$7="Yes",('Mass Ion Calculations'!$D$18+'AA Exact Masses'!$Q$2+'AA Exact Masses'!$Q$2-'Mass Ion Calculations'!$C$23-'Mass Ion Calculations'!$C17)/2-'Mass Ion Calculations'!$D$5,('Mass Ion Calculations'!$F$18+'AA Exact Masses'!$Q$2+'AA Exact Masses'!$Q$2-'Mass Ion Calculations'!$E$23-'Mass Ion Calculations'!$E17)/2-'Mass Ion Calculations'!$D$5),IF('Mass Ion Calculations'!$D$7="Yes", ('Mass Ion Calculations'!$D$15+'AA Exact Masses'!$Q$2+'AA Exact Masses'!$Q$2-'Mass Ion Calculations'!$C$23-'Mass Ion Calculations'!$C17)/2-'Mass Ion Calculations'!$D$5,('Mass Ion Calculations'!$F$15+'AA Exact Masses'!$Q$2+'AA Exact Masses'!$Q$2-'Mass Ion Calculations'!$E$23-'Mass Ion Calculations'!$E17)/2-'Mass Ion Calculations'!$D$5)))</f>
        <v>#VALUE!</v>
      </c>
      <c r="V16" s="3" t="str">
        <f>IF(OR($B16="",V$3=""),"",IF('Mass Ion Calculations'!$D$6="Yes",IF('Mass Ion Calculations'!$D$7="Yes",('Mass Ion Calculations'!$D$18+'AA Exact Masses'!$Q$2+'AA Exact Masses'!$Q$2-'Mass Ion Calculations'!$C$24-'Mass Ion Calculations'!$C17)/2-'Mass Ion Calculations'!$D$5,('Mass Ion Calculations'!$F$18+'AA Exact Masses'!$Q$2+'AA Exact Masses'!$Q$2-'Mass Ion Calculations'!$E$24-'Mass Ion Calculations'!$E17)/2-'Mass Ion Calculations'!$D$5),IF('Mass Ion Calculations'!$D$7="Yes", ('Mass Ion Calculations'!$D$15+'AA Exact Masses'!$Q$2+'AA Exact Masses'!$Q$2-'Mass Ion Calculations'!$C$24-'Mass Ion Calculations'!$C17)/2-'Mass Ion Calculations'!$D$5,('Mass Ion Calculations'!$F$15+'AA Exact Masses'!$Q$2+'AA Exact Masses'!$Q$2-'Mass Ion Calculations'!$E$24-'Mass Ion Calculations'!$E17)/2-'Mass Ion Calculations'!$D$5)))</f>
        <v/>
      </c>
      <c r="W16" s="3" t="str">
        <f>IF(OR($B16="",W$3=""),"",IF('Mass Ion Calculations'!$D$6="Yes",IF('Mass Ion Calculations'!$D$7="Yes",('Mass Ion Calculations'!$D$18+'AA Exact Masses'!$Q$2+'AA Exact Masses'!$Q$2-'Mass Ion Calculations'!$C$25-'Mass Ion Calculations'!$C17)/2-'Mass Ion Calculations'!$D$5,('Mass Ion Calculations'!$F$18+'AA Exact Masses'!$Q$2+'AA Exact Masses'!$Q$2-'Mass Ion Calculations'!$E$25-'Mass Ion Calculations'!$E17)/2-'Mass Ion Calculations'!$D$5),IF('Mass Ion Calculations'!$D$7="Yes", ('Mass Ion Calculations'!$D$15+'AA Exact Masses'!$Q$2+'AA Exact Masses'!$Q$2-'Mass Ion Calculations'!$C$25-'Mass Ion Calculations'!$C17)/2-'Mass Ion Calculations'!$D$5,('Mass Ion Calculations'!$F$15+'AA Exact Masses'!$Q$2+'AA Exact Masses'!$Q$2-'Mass Ion Calculations'!$E$25-'Mass Ion Calculations'!$E17)/2-'Mass Ion Calculations'!$D$5)))</f>
        <v/>
      </c>
      <c r="X16" s="3" t="str">
        <f>IF(OR($B16="",X$3=""),"",IF('Mass Ion Calculations'!$D$6="Yes",IF('Mass Ion Calculations'!$D$7="Yes",('Mass Ion Calculations'!$D$18+'AA Exact Masses'!$Q$2+'AA Exact Masses'!$Q$2-'Mass Ion Calculations'!$C$26-'Mass Ion Calculations'!$C17)/2-'Mass Ion Calculations'!$D$5,('Mass Ion Calculations'!$F$18+'AA Exact Masses'!$Q$2+'AA Exact Masses'!$Q$2-'Mass Ion Calculations'!$E$26-'Mass Ion Calculations'!$E17)/2-'Mass Ion Calculations'!$D$5),IF('Mass Ion Calculations'!$D$7="Yes", ('Mass Ion Calculations'!$D$15+'AA Exact Masses'!$Q$2+'AA Exact Masses'!$Q$2-'Mass Ion Calculations'!$C$26-'Mass Ion Calculations'!$C17)/2-'Mass Ion Calculations'!$D$5,('Mass Ion Calculations'!$F$15+'AA Exact Masses'!$Q$2+'AA Exact Masses'!$Q$2-'Mass Ion Calculations'!$E$26-'Mass Ion Calculations'!$E17)/2-'Mass Ion Calculations'!$D$5)))</f>
        <v/>
      </c>
      <c r="Y16" s="3" t="str">
        <f>IF(OR($B16="",Y$3=""),"",IF('Mass Ion Calculations'!$D$6="Yes",IF('Mass Ion Calculations'!$D$7="Yes",('Mass Ion Calculations'!$D$18+'AA Exact Masses'!$Q$2+'AA Exact Masses'!$Q$2-'Mass Ion Calculations'!$C$27-'Mass Ion Calculations'!$C17)/2-'Mass Ion Calculations'!$D$5,('Mass Ion Calculations'!$F$18+'AA Exact Masses'!$Q$2+'AA Exact Masses'!$Q$2-'Mass Ion Calculations'!$E$27-'Mass Ion Calculations'!$E17)/2-'Mass Ion Calculations'!$D$5),IF('Mass Ion Calculations'!$D$7="Yes", ('Mass Ion Calculations'!$D$15+'AA Exact Masses'!$Q$2+'AA Exact Masses'!$Q$2-'Mass Ion Calculations'!$C$27-'Mass Ion Calculations'!$C17)/2-'Mass Ion Calculations'!$D$5,('Mass Ion Calculations'!$F$15+'AA Exact Masses'!$Q$2+'AA Exact Masses'!$Q$2-'Mass Ion Calculations'!$E$27-'Mass Ion Calculations'!$E17)/2-'Mass Ion Calculations'!$D$5)))</f>
        <v/>
      </c>
      <c r="Z16" s="3" t="str">
        <f>IF(OR($B16="",Z$3=""),"",IF('Mass Ion Calculations'!$D$6="Yes",IF('Mass Ion Calculations'!$D$7="Yes",('Mass Ion Calculations'!$D$18+'AA Exact Masses'!$Q$2+'AA Exact Masses'!$Q$2-'Mass Ion Calculations'!$C$28-'Mass Ion Calculations'!$C17)/2-'Mass Ion Calculations'!$D$5,('Mass Ion Calculations'!$F$18+'AA Exact Masses'!$Q$2+'AA Exact Masses'!$Q$2-'Mass Ion Calculations'!$E$28-'Mass Ion Calculations'!$E17)/2-'Mass Ion Calculations'!$D$5),IF('Mass Ion Calculations'!$D$7="Yes", ('Mass Ion Calculations'!$D$15+'AA Exact Masses'!$Q$2+'AA Exact Masses'!$Q$2-'Mass Ion Calculations'!$C$28-'Mass Ion Calculations'!$C17)/2-'Mass Ion Calculations'!$D$5,('Mass Ion Calculations'!$F$15+'AA Exact Masses'!$Q$2+'AA Exact Masses'!$Q$2-'Mass Ion Calculations'!$E$28-'Mass Ion Calculations'!$E17)/2-'Mass Ion Calculations'!$D$5)))</f>
        <v/>
      </c>
    </row>
    <row r="17" spans="2:26" x14ac:dyDescent="0.25">
      <c r="B17" s="4" t="str">
        <f>IF('Mass Ion Calculations'!B18="","", 'Mass Ion Calculations'!B18)</f>
        <v>Phe-I</v>
      </c>
      <c r="C17" s="3">
        <f>IF(OR($B17="",C$3=""),"",IF('Mass Ion Calculations'!$D$6="Yes",IF('Mass Ion Calculations'!$D$7="Yes",('Mass Ion Calculations'!$D$18+'AA Exact Masses'!$Q$2+'AA Exact Masses'!$Q$2-'Mass Ion Calculations'!$C$5-'Mass Ion Calculations'!$C18)/2-'Mass Ion Calculations'!$D$5,('Mass Ion Calculations'!$F$18+'AA Exact Masses'!$Q$2+'AA Exact Masses'!$Q$2-'Mass Ion Calculations'!$E$5-'Mass Ion Calculations'!$E18)/2-'Mass Ion Calculations'!$D$5),IF('Mass Ion Calculations'!$D$7="Yes", ('Mass Ion Calculations'!$D$15+'AA Exact Masses'!$Q$2+'AA Exact Masses'!$Q$2-'Mass Ion Calculations'!$C$5-'Mass Ion Calculations'!$C18)/2-'Mass Ion Calculations'!$D$5,('Mass Ion Calculations'!$F$15+'AA Exact Masses'!$Q$2+'AA Exact Masses'!$Q$2-'Mass Ion Calculations'!$E$5-'Mass Ion Calculations'!$E18)/2-'Mass Ion Calculations'!$D$5)))</f>
        <v>-504.551695</v>
      </c>
      <c r="D17" s="3">
        <f>IF(OR($B17="",D$3=""),"",IF('Mass Ion Calculations'!$D$6="Yes",IF('Mass Ion Calculations'!$D$7="Yes",('Mass Ion Calculations'!$D$18+'AA Exact Masses'!$Q$2+'AA Exact Masses'!$Q$2-'Mass Ion Calculations'!$C$6-'Mass Ion Calculations'!$C18)/2-'Mass Ion Calculations'!$D$5,('Mass Ion Calculations'!$F$18+'AA Exact Masses'!$Q$2+'AA Exact Masses'!$Q$2-'Mass Ion Calculations'!$E$6-'Mass Ion Calculations'!$E18)/2-'Mass Ion Calculations'!$D$5),IF('Mass Ion Calculations'!$D$7="Yes", ('Mass Ion Calculations'!$D$15+'AA Exact Masses'!$Q$2+'AA Exact Masses'!$Q$2-'Mass Ion Calculations'!$C$6-'Mass Ion Calculations'!$C18)/2-'Mass Ion Calculations'!$D$5,('Mass Ion Calculations'!$F$15+'AA Exact Masses'!$Q$2+'AA Exact Masses'!$Q$2-'Mass Ion Calculations'!$E$6-'Mass Ion Calculations'!$E18)/2-'Mass Ion Calculations'!$D$5)))</f>
        <v>-483.03058999999996</v>
      </c>
      <c r="E17" s="3">
        <f>IF(OR($B17="",E$3=""),"",IF('Mass Ion Calculations'!$D$6="Yes",IF('Mass Ion Calculations'!$D$7="Yes",('Mass Ion Calculations'!$D$18+'AA Exact Masses'!$Q$2+'AA Exact Masses'!$Q$2-'Mass Ion Calculations'!$C$7-'Mass Ion Calculations'!$C18)/2-'Mass Ion Calculations'!$D$5,('Mass Ion Calculations'!$F$18+'AA Exact Masses'!$Q$2+'AA Exact Masses'!$Q$2-'Mass Ion Calculations'!$E$7-'Mass Ion Calculations'!$E18)/2-'Mass Ion Calculations'!$D$5),IF('Mass Ion Calculations'!$D$7="Yes", ('Mass Ion Calculations'!$D$15+'AA Exact Masses'!$Q$2+'AA Exact Masses'!$Q$2-'Mass Ion Calculations'!$C$7-'Mass Ion Calculations'!$C18)/2-'Mass Ion Calculations'!$D$5,('Mass Ion Calculations'!$F$15+'AA Exact Masses'!$Q$2+'AA Exact Masses'!$Q$2-'Mass Ion Calculations'!$E$7-'Mass Ion Calculations'!$E18)/2-'Mass Ion Calculations'!$D$5)))</f>
        <v>-504.05406499999992</v>
      </c>
      <c r="F17" s="3">
        <f>IF(OR($B17="",F$3=""),"",IF('Mass Ion Calculations'!$D$6="Yes",IF('Mass Ion Calculations'!$D$7="Yes",('Mass Ion Calculations'!$D$18+'AA Exact Masses'!$Q$2+'AA Exact Masses'!$Q$2-'Mass Ion Calculations'!$C$8-'Mass Ion Calculations'!$C18)/2-'Mass Ion Calculations'!$D$5,('Mass Ion Calculations'!$F$18+'AA Exact Masses'!$Q$2+'AA Exact Masses'!$Q$2-'Mass Ion Calculations'!$E$8-'Mass Ion Calculations'!$E18)/2-'Mass Ion Calculations'!$D$5),IF('Mass Ion Calculations'!$D$7="Yes", ('Mass Ion Calculations'!$D$15+'AA Exact Masses'!$Q$2+'AA Exact Masses'!$Q$2-'Mass Ion Calculations'!$C$8-'Mass Ion Calculations'!$C18)/2-'Mass Ion Calculations'!$D$5,('Mass Ion Calculations'!$F$15+'AA Exact Masses'!$Q$2+'AA Exact Masses'!$Q$2-'Mass Ion Calculations'!$E$8-'Mass Ion Calculations'!$E18)/2-'Mass Ion Calculations'!$D$5)))</f>
        <v>-504.05406499999992</v>
      </c>
      <c r="G17" s="3">
        <f>IF(OR($B17="",G$3=""),"",IF('Mass Ion Calculations'!$D$6="Yes",IF('Mass Ion Calculations'!$D$7="Yes",('Mass Ion Calculations'!$D$18+'AA Exact Masses'!$Q$2+'AA Exact Masses'!$Q$2-'Mass Ion Calculations'!$C$9-'Mass Ion Calculations'!$C18)/2-'Mass Ion Calculations'!$D$5,('Mass Ion Calculations'!$F$18+'AA Exact Masses'!$Q$2+'AA Exact Masses'!$Q$2-'Mass Ion Calculations'!$E$9-'Mass Ion Calculations'!$E18)/2-'Mass Ion Calculations'!$D$5),IF('Mass Ion Calculations'!$D$7="Yes", ('Mass Ion Calculations'!$D$15+'AA Exact Masses'!$Q$2+'AA Exact Masses'!$Q$2-'Mass Ion Calculations'!$C$9-'Mass Ion Calculations'!$C18)/2-'Mass Ion Calculations'!$D$5,('Mass Ion Calculations'!$F$15+'AA Exact Masses'!$Q$2+'AA Exact Masses'!$Q$2-'Mass Ion Calculations'!$E$9-'Mass Ion Calculations'!$E18)/2-'Mass Ion Calculations'!$D$5)))</f>
        <v>-483.03058999999996</v>
      </c>
      <c r="H17" s="3">
        <f>IF(OR($B17="",H$3=""),"",IF('Mass Ion Calculations'!$D$6="Yes",IF('Mass Ion Calculations'!$D$7="Yes",('Mass Ion Calculations'!$D$18+'AA Exact Masses'!$Q$2+'AA Exact Masses'!$Q$2-'Mass Ion Calculations'!$C$10-'Mass Ion Calculations'!$C18)/2-'Mass Ion Calculations'!$D$5,('Mass Ion Calculations'!$F$18+'AA Exact Masses'!$Q$2+'AA Exact Masses'!$Q$2-'Mass Ion Calculations'!$E$10-'Mass Ion Calculations'!$E18)/2-'Mass Ion Calculations'!$D$5),IF('Mass Ion Calculations'!$D$7="Yes", ('Mass Ion Calculations'!$D$15+'AA Exact Masses'!$Q$2+'AA Exact Masses'!$Q$2-'Mass Ion Calculations'!$C$10-'Mass Ion Calculations'!$C18)/2-'Mass Ion Calculations'!$D$5,('Mass Ion Calculations'!$F$15+'AA Exact Masses'!$Q$2+'AA Exact Masses'!$Q$2-'Mass Ion Calculations'!$E$10-'Mass Ion Calculations'!$E18)/2-'Mass Ion Calculations'!$D$5)))</f>
        <v>-504.05406499999992</v>
      </c>
      <c r="I17" s="3">
        <f>IF(OR($B17="",I$3=""),"",IF('Mass Ion Calculations'!$D$6="Yes",IF('Mass Ion Calculations'!$D$7="Yes",('Mass Ion Calculations'!$D$18+'AA Exact Masses'!$Q$2+'AA Exact Masses'!$Q$2-'Mass Ion Calculations'!$C$11-'Mass Ion Calculations'!$C18)/2-'Mass Ion Calculations'!$D$5,('Mass Ion Calculations'!$F$18+'AA Exact Masses'!$Q$2+'AA Exact Masses'!$Q$2-'Mass Ion Calculations'!$E$11-'Mass Ion Calculations'!$E18)/2-'Mass Ion Calculations'!$D$5),IF('Mass Ion Calculations'!$D$7="Yes", ('Mass Ion Calculations'!$D$15+'AA Exact Masses'!$Q$2+'AA Exact Masses'!$Q$2-'Mass Ion Calculations'!$C$11-'Mass Ion Calculations'!$C18)/2-'Mass Ion Calculations'!$D$5,('Mass Ion Calculations'!$F$15+'AA Exact Masses'!$Q$2+'AA Exact Masses'!$Q$2-'Mass Ion Calculations'!$E$11-'Mass Ion Calculations'!$E18)/2-'Mass Ion Calculations'!$D$5)))</f>
        <v>-504.551695</v>
      </c>
      <c r="J17" s="3">
        <f>IF(OR($B17="",J$3=""),"",IF('Mass Ion Calculations'!$D$6="Yes",IF('Mass Ion Calculations'!$D$7="Yes",('Mass Ion Calculations'!$D$18+'AA Exact Masses'!$Q$2+'AA Exact Masses'!$Q$2-'Mass Ion Calculations'!$C$12-'Mass Ion Calculations'!$C18)/2-'Mass Ion Calculations'!$D$5,('Mass Ion Calculations'!$F$18+'AA Exact Masses'!$Q$2+'AA Exact Masses'!$Q$2-'Mass Ion Calculations'!$E$12-'Mass Ion Calculations'!$E18)/2-'Mass Ion Calculations'!$D$5),IF('Mass Ion Calculations'!$D$7="Yes", ('Mass Ion Calculations'!$D$15+'AA Exact Masses'!$Q$2+'AA Exact Masses'!$Q$2-'Mass Ion Calculations'!$C$12-'Mass Ion Calculations'!$C18)/2-'Mass Ion Calculations'!$D$5,('Mass Ion Calculations'!$F$15+'AA Exact Masses'!$Q$2+'AA Exact Masses'!$Q$2-'Mass Ion Calculations'!$E$12-'Mass Ion Calculations'!$E18)/2-'Mass Ion Calculations'!$D$5)))</f>
        <v>-497.04624000000001</v>
      </c>
      <c r="K17" s="3">
        <f>IF(OR($B17="",K$3=""),"",IF('Mass Ion Calculations'!$D$6="Yes",IF('Mass Ion Calculations'!$D$7="Yes",('Mass Ion Calculations'!$D$18+'AA Exact Masses'!$Q$2+'AA Exact Masses'!$Q$2-'Mass Ion Calculations'!$C$13-'Mass Ion Calculations'!$C18)/2-'Mass Ion Calculations'!$D$5,('Mass Ion Calculations'!$F$18+'AA Exact Masses'!$Q$2+'AA Exact Masses'!$Q$2-'Mass Ion Calculations'!$E$13-'Mass Ion Calculations'!$E18)/2-'Mass Ion Calculations'!$D$5),IF('Mass Ion Calculations'!$D$7="Yes", ('Mass Ion Calculations'!$D$15+'AA Exact Masses'!$Q$2+'AA Exact Masses'!$Q$2-'Mass Ion Calculations'!$C$13-'Mass Ion Calculations'!$C18)/2-'Mass Ion Calculations'!$D$5,('Mass Ion Calculations'!$F$15+'AA Exact Masses'!$Q$2+'AA Exact Masses'!$Q$2-'Mass Ion Calculations'!$E$13-'Mass Ion Calculations'!$E18)/2-'Mass Ion Calculations'!$D$5)))</f>
        <v>-504.551695</v>
      </c>
      <c r="L17" s="3">
        <f>IF(OR($B17="",L$3=""),"",IF('Mass Ion Calculations'!$D$6="Yes",IF('Mass Ion Calculations'!$D$7="Yes",('Mass Ion Calculations'!$D$18+'AA Exact Masses'!$Q$2+'AA Exact Masses'!$Q$2-'Mass Ion Calculations'!$C$14-'Mass Ion Calculations'!$C18)/2-'Mass Ion Calculations'!$D$5,('Mass Ion Calculations'!$F$18+'AA Exact Masses'!$Q$2+'AA Exact Masses'!$Q$2-'Mass Ion Calculations'!$E$14-'Mass Ion Calculations'!$E18)/2-'Mass Ion Calculations'!$D$5),IF('Mass Ion Calculations'!$D$7="Yes", ('Mass Ion Calculations'!$D$15+'AA Exact Masses'!$Q$2+'AA Exact Masses'!$Q$2-'Mass Ion Calculations'!$C$14-'Mass Ion Calculations'!$C18)/2-'Mass Ion Calculations'!$D$5,('Mass Ion Calculations'!$F$15+'AA Exact Masses'!$Q$2+'AA Exact Masses'!$Q$2-'Mass Ion Calculations'!$E$14-'Mass Ion Calculations'!$E18)/2-'Mass Ion Calculations'!$D$5)))</f>
        <v>-512.03332999999998</v>
      </c>
      <c r="M17" s="3">
        <f>IF(OR($B17="",M$3=""),"",IF('Mass Ion Calculations'!$D$6="Yes",IF('Mass Ion Calculations'!$D$7="Yes",('Mass Ion Calculations'!$D$18+'AA Exact Masses'!$Q$2+'AA Exact Masses'!$Q$2-'Mass Ion Calculations'!$C$15-'Mass Ion Calculations'!$C18)/2-'Mass Ion Calculations'!$D$5,('Mass Ion Calculations'!$F$18+'AA Exact Masses'!$Q$2+'AA Exact Masses'!$Q$2-'Mass Ion Calculations'!$E$15-'Mass Ion Calculations'!$E18)/2-'Mass Ion Calculations'!$D$5),IF('Mass Ion Calculations'!$D$7="Yes", ('Mass Ion Calculations'!$D$15+'AA Exact Masses'!$Q$2+'AA Exact Masses'!$Q$2-'Mass Ion Calculations'!$C$15-'Mass Ion Calculations'!$C18)/2-'Mass Ion Calculations'!$D$5,('Mass Ion Calculations'!$F$15+'AA Exact Masses'!$Q$2+'AA Exact Masses'!$Q$2-'Mass Ion Calculations'!$E$15-'Mass Ion Calculations'!$E18)/2-'Mass Ion Calculations'!$D$5)))</f>
        <v>-505.02550499999995</v>
      </c>
      <c r="N17" s="3">
        <f>IF(OR($B17="",N$3=""),"",IF('Mass Ion Calculations'!$D$6="Yes",IF('Mass Ion Calculations'!$D$7="Yes",('Mass Ion Calculations'!$D$18+'AA Exact Masses'!$Q$2+'AA Exact Masses'!$Q$2-'Mass Ion Calculations'!$C$16-'Mass Ion Calculations'!$C18)/2-'Mass Ion Calculations'!$D$5,('Mass Ion Calculations'!$F$18+'AA Exact Masses'!$Q$2+'AA Exact Masses'!$Q$2-'Mass Ion Calculations'!$E$16-'Mass Ion Calculations'!$E18)/2-'Mass Ion Calculations'!$D$5),IF('Mass Ion Calculations'!$D$7="Yes", ('Mass Ion Calculations'!$D$15+'AA Exact Masses'!$Q$2+'AA Exact Masses'!$Q$2-'Mass Ion Calculations'!$C$16-'Mass Ion Calculations'!$C18)/2-'Mass Ion Calculations'!$D$5,('Mass Ion Calculations'!$F$15+'AA Exact Masses'!$Q$2+'AA Exact Masses'!$Q$2-'Mass Ion Calculations'!$E$16-'Mass Ion Calculations'!$E18)/2-'Mass Ion Calculations'!$D$5)))</f>
        <v>-483.03058999999996</v>
      </c>
      <c r="O17" s="3">
        <f>IF(OR($B17="",O$3=""),"",IF('Mass Ion Calculations'!$D$6="Yes",IF('Mass Ion Calculations'!$D$7="Yes",('Mass Ion Calculations'!$D$18+'AA Exact Masses'!$Q$2+'AA Exact Masses'!$Q$2-'Mass Ion Calculations'!$C$17-'Mass Ion Calculations'!$C18)/2-'Mass Ion Calculations'!$D$5,('Mass Ion Calculations'!$F$18+'AA Exact Masses'!$Q$2+'AA Exact Masses'!$Q$2-'Mass Ion Calculations'!$E$17-'Mass Ion Calculations'!$E18)/2-'Mass Ion Calculations'!$D$5),IF('Mass Ion Calculations'!$D$7="Yes", ('Mass Ion Calculations'!$D$15+'AA Exact Masses'!$Q$2+'AA Exact Masses'!$Q$2-'Mass Ion Calculations'!$C$17-'Mass Ion Calculations'!$C18)/2-'Mass Ion Calculations'!$D$5,('Mass Ion Calculations'!$F$15+'AA Exact Masses'!$Q$2+'AA Exact Masses'!$Q$2-'Mass Ion Calculations'!$E$17-'Mass Ion Calculations'!$E18)/2-'Mass Ion Calculations'!$D$5)))</f>
        <v>-521.04624000000001</v>
      </c>
      <c r="P17" s="3">
        <f>IF(OR($B17="",P$3=""),"",IF('Mass Ion Calculations'!$D$6="Yes",IF('Mass Ion Calculations'!$D$7="Yes",('Mass Ion Calculations'!$D$18+'AA Exact Masses'!$Q$2+'AA Exact Masses'!$Q$2-'Mass Ion Calculations'!$C$18-'Mass Ion Calculations'!$C18)/2-'Mass Ion Calculations'!$D$5,('Mass Ion Calculations'!$F$18+'AA Exact Masses'!$Q$2+'AA Exact Masses'!$Q$2-'Mass Ion Calculations'!$E$18-'Mass Ion Calculations'!$E18)/2-'Mass Ion Calculations'!$D$5),IF('Mass Ion Calculations'!$D$7="Yes", ('Mass Ion Calculations'!$D$15+'AA Exact Masses'!$Q$2+'AA Exact Masses'!$Q$2-'Mass Ion Calculations'!$C$18-'Mass Ion Calculations'!$C18)/2-'Mass Ion Calculations'!$D$5,('Mass Ion Calculations'!$F$15+'AA Exact Masses'!$Q$2+'AA Exact Masses'!$Q$2-'Mass Ion Calculations'!$E$18-'Mass Ion Calculations'!$E18)/2-'Mass Ion Calculations'!$D$5)))</f>
        <v>-583.99456499999997</v>
      </c>
      <c r="Q17" s="3">
        <f>IF(OR($B17="",Q$3=""),"",IF('Mass Ion Calculations'!$D$6="Yes",IF('Mass Ion Calculations'!$D$7="Yes",('Mass Ion Calculations'!$D$18+'AA Exact Masses'!$Q$2+'AA Exact Masses'!$Q$2-'Mass Ion Calculations'!$C$19-'Mass Ion Calculations'!$C18)/2-'Mass Ion Calculations'!$D$5,('Mass Ion Calculations'!$F$18+'AA Exact Masses'!$Q$2+'AA Exact Masses'!$Q$2-'Mass Ion Calculations'!$E$19-'Mass Ion Calculations'!$E18)/2-'Mass Ion Calculations'!$D$5),IF('Mass Ion Calculations'!$D$7="Yes", ('Mass Ion Calculations'!$D$15+'AA Exact Masses'!$Q$2+'AA Exact Masses'!$Q$2-'Mass Ion Calculations'!$C$19-'Mass Ion Calculations'!$C18)/2-'Mass Ion Calculations'!$D$5,('Mass Ion Calculations'!$F$15+'AA Exact Masses'!$Q$2+'AA Exact Masses'!$Q$2-'Mass Ion Calculations'!$E$19-'Mass Ion Calculations'!$E18)/2-'Mass Ion Calculations'!$D$5)))</f>
        <v>-497.04624000000001</v>
      </c>
      <c r="R17" s="3">
        <f>IF(OR($B17="",R$3=""),"",IF('Mass Ion Calculations'!$D$6="Yes",IF('Mass Ion Calculations'!$D$7="Yes",('Mass Ion Calculations'!$D$18+'AA Exact Masses'!$Q$2+'AA Exact Masses'!$Q$2-'Mass Ion Calculations'!$C$20-'Mass Ion Calculations'!$C18)/2-'Mass Ion Calculations'!$D$5,('Mass Ion Calculations'!$F$18+'AA Exact Masses'!$Q$2+'AA Exact Masses'!$Q$2-'Mass Ion Calculations'!$E$20-'Mass Ion Calculations'!$E18)/2-'Mass Ion Calculations'!$D$5),IF('Mass Ion Calculations'!$D$7="Yes", ('Mass Ion Calculations'!$D$15+'AA Exact Masses'!$Q$2+'AA Exact Masses'!$Q$2-'Mass Ion Calculations'!$C$20-'Mass Ion Calculations'!$C18)/2-'Mass Ion Calculations'!$D$5,('Mass Ion Calculations'!$F$15+'AA Exact Masses'!$Q$2+'AA Exact Masses'!$Q$2-'Mass Ion Calculations'!$E$20-'Mass Ion Calculations'!$E18)/2-'Mass Ion Calculations'!$D$5)))</f>
        <v>-504.05406499999992</v>
      </c>
      <c r="S17" s="3" t="str">
        <f>IF(OR($B17="",S$3=""),"",IF('Mass Ion Calculations'!$D$6="Yes",IF('Mass Ion Calculations'!$D$7="Yes",('Mass Ion Calculations'!$D$18+'AA Exact Masses'!$Q$2+'AA Exact Masses'!$Q$2-'Mass Ion Calculations'!$C$21-'Mass Ion Calculations'!$C18)/2-'Mass Ion Calculations'!$D$5,('Mass Ion Calculations'!$F$18+'AA Exact Masses'!$Q$2+'AA Exact Masses'!$Q$2-'Mass Ion Calculations'!$E$21-'Mass Ion Calculations'!$E18)/2-'Mass Ion Calculations'!$D$5),IF('Mass Ion Calculations'!$D$7="Yes", ('Mass Ion Calculations'!$D$15+'AA Exact Masses'!$Q$2+'AA Exact Masses'!$Q$2-'Mass Ion Calculations'!$C$21-'Mass Ion Calculations'!$C18)/2-'Mass Ion Calculations'!$D$5,('Mass Ion Calculations'!$F$15+'AA Exact Masses'!$Q$2+'AA Exact Masses'!$Q$2-'Mass Ion Calculations'!$E$21-'Mass Ion Calculations'!$E18)/2-'Mass Ion Calculations'!$D$5)))</f>
        <v/>
      </c>
      <c r="T17" s="3" t="e">
        <f>IF(OR($B17="",T$3=""),"",IF('Mass Ion Calculations'!$D$6="Yes",IF('Mass Ion Calculations'!$D$7="Yes",('Mass Ion Calculations'!$D$18+'AA Exact Masses'!$Q$2+'AA Exact Masses'!$Q$2-'Mass Ion Calculations'!$C$22-'Mass Ion Calculations'!$C18)/2-'Mass Ion Calculations'!$D$5,('Mass Ion Calculations'!$F$18+'AA Exact Masses'!$Q$2+'AA Exact Masses'!$Q$2-'Mass Ion Calculations'!$E$22-'Mass Ion Calculations'!$E18)/2-'Mass Ion Calculations'!$D$5),IF('Mass Ion Calculations'!$D$7="Yes", ('Mass Ion Calculations'!$D$15+'AA Exact Masses'!$Q$2+'AA Exact Masses'!$Q$2-'Mass Ion Calculations'!$C$22-'Mass Ion Calculations'!$C18)/2-'Mass Ion Calculations'!$D$5,('Mass Ion Calculations'!$F$15+'AA Exact Masses'!$Q$2+'AA Exact Masses'!$Q$2-'Mass Ion Calculations'!$E$22-'Mass Ion Calculations'!$E18)/2-'Mass Ion Calculations'!$D$5)))</f>
        <v>#VALUE!</v>
      </c>
      <c r="U17" s="3" t="e">
        <f>IF(OR($B17="",U$3=""),"",IF('Mass Ion Calculations'!$D$6="Yes",IF('Mass Ion Calculations'!$D$7="Yes",('Mass Ion Calculations'!$D$18+'AA Exact Masses'!$Q$2+'AA Exact Masses'!$Q$2-'Mass Ion Calculations'!$C$23-'Mass Ion Calculations'!$C18)/2-'Mass Ion Calculations'!$D$5,('Mass Ion Calculations'!$F$18+'AA Exact Masses'!$Q$2+'AA Exact Masses'!$Q$2-'Mass Ion Calculations'!$E$23-'Mass Ion Calculations'!$E18)/2-'Mass Ion Calculations'!$D$5),IF('Mass Ion Calculations'!$D$7="Yes", ('Mass Ion Calculations'!$D$15+'AA Exact Masses'!$Q$2+'AA Exact Masses'!$Q$2-'Mass Ion Calculations'!$C$23-'Mass Ion Calculations'!$C18)/2-'Mass Ion Calculations'!$D$5,('Mass Ion Calculations'!$F$15+'AA Exact Masses'!$Q$2+'AA Exact Masses'!$Q$2-'Mass Ion Calculations'!$E$23-'Mass Ion Calculations'!$E18)/2-'Mass Ion Calculations'!$D$5)))</f>
        <v>#VALUE!</v>
      </c>
      <c r="V17" s="3" t="str">
        <f>IF(OR($B17="",V$3=""),"",IF('Mass Ion Calculations'!$D$6="Yes",IF('Mass Ion Calculations'!$D$7="Yes",('Mass Ion Calculations'!$D$18+'AA Exact Masses'!$Q$2+'AA Exact Masses'!$Q$2-'Mass Ion Calculations'!$C$24-'Mass Ion Calculations'!$C18)/2-'Mass Ion Calculations'!$D$5,('Mass Ion Calculations'!$F$18+'AA Exact Masses'!$Q$2+'AA Exact Masses'!$Q$2-'Mass Ion Calculations'!$E$24-'Mass Ion Calculations'!$E18)/2-'Mass Ion Calculations'!$D$5),IF('Mass Ion Calculations'!$D$7="Yes", ('Mass Ion Calculations'!$D$15+'AA Exact Masses'!$Q$2+'AA Exact Masses'!$Q$2-'Mass Ion Calculations'!$C$24-'Mass Ion Calculations'!$C18)/2-'Mass Ion Calculations'!$D$5,('Mass Ion Calculations'!$F$15+'AA Exact Masses'!$Q$2+'AA Exact Masses'!$Q$2-'Mass Ion Calculations'!$E$24-'Mass Ion Calculations'!$E18)/2-'Mass Ion Calculations'!$D$5)))</f>
        <v/>
      </c>
      <c r="W17" s="3" t="str">
        <f>IF(OR($B17="",W$3=""),"",IF('Mass Ion Calculations'!$D$6="Yes",IF('Mass Ion Calculations'!$D$7="Yes",('Mass Ion Calculations'!$D$18+'AA Exact Masses'!$Q$2+'AA Exact Masses'!$Q$2-'Mass Ion Calculations'!$C$25-'Mass Ion Calculations'!$C18)/2-'Mass Ion Calculations'!$D$5,('Mass Ion Calculations'!$F$18+'AA Exact Masses'!$Q$2+'AA Exact Masses'!$Q$2-'Mass Ion Calculations'!$E$25-'Mass Ion Calculations'!$E18)/2-'Mass Ion Calculations'!$D$5),IF('Mass Ion Calculations'!$D$7="Yes", ('Mass Ion Calculations'!$D$15+'AA Exact Masses'!$Q$2+'AA Exact Masses'!$Q$2-'Mass Ion Calculations'!$C$25-'Mass Ion Calculations'!$C18)/2-'Mass Ion Calculations'!$D$5,('Mass Ion Calculations'!$F$15+'AA Exact Masses'!$Q$2+'AA Exact Masses'!$Q$2-'Mass Ion Calculations'!$E$25-'Mass Ion Calculations'!$E18)/2-'Mass Ion Calculations'!$D$5)))</f>
        <v/>
      </c>
      <c r="X17" s="3" t="str">
        <f>IF(OR($B17="",X$3=""),"",IF('Mass Ion Calculations'!$D$6="Yes",IF('Mass Ion Calculations'!$D$7="Yes",('Mass Ion Calculations'!$D$18+'AA Exact Masses'!$Q$2+'AA Exact Masses'!$Q$2-'Mass Ion Calculations'!$C$26-'Mass Ion Calculations'!$C18)/2-'Mass Ion Calculations'!$D$5,('Mass Ion Calculations'!$F$18+'AA Exact Masses'!$Q$2+'AA Exact Masses'!$Q$2-'Mass Ion Calculations'!$E$26-'Mass Ion Calculations'!$E18)/2-'Mass Ion Calculations'!$D$5),IF('Mass Ion Calculations'!$D$7="Yes", ('Mass Ion Calculations'!$D$15+'AA Exact Masses'!$Q$2+'AA Exact Masses'!$Q$2-'Mass Ion Calculations'!$C$26-'Mass Ion Calculations'!$C18)/2-'Mass Ion Calculations'!$D$5,('Mass Ion Calculations'!$F$15+'AA Exact Masses'!$Q$2+'AA Exact Masses'!$Q$2-'Mass Ion Calculations'!$E$26-'Mass Ion Calculations'!$E18)/2-'Mass Ion Calculations'!$D$5)))</f>
        <v/>
      </c>
      <c r="Y17" s="3" t="str">
        <f>IF(OR($B17="",Y$3=""),"",IF('Mass Ion Calculations'!$D$6="Yes",IF('Mass Ion Calculations'!$D$7="Yes",('Mass Ion Calculations'!$D$18+'AA Exact Masses'!$Q$2+'AA Exact Masses'!$Q$2-'Mass Ion Calculations'!$C$27-'Mass Ion Calculations'!$C18)/2-'Mass Ion Calculations'!$D$5,('Mass Ion Calculations'!$F$18+'AA Exact Masses'!$Q$2+'AA Exact Masses'!$Q$2-'Mass Ion Calculations'!$E$27-'Mass Ion Calculations'!$E18)/2-'Mass Ion Calculations'!$D$5),IF('Mass Ion Calculations'!$D$7="Yes", ('Mass Ion Calculations'!$D$15+'AA Exact Masses'!$Q$2+'AA Exact Masses'!$Q$2-'Mass Ion Calculations'!$C$27-'Mass Ion Calculations'!$C18)/2-'Mass Ion Calculations'!$D$5,('Mass Ion Calculations'!$F$15+'AA Exact Masses'!$Q$2+'AA Exact Masses'!$Q$2-'Mass Ion Calculations'!$E$27-'Mass Ion Calculations'!$E18)/2-'Mass Ion Calculations'!$D$5)))</f>
        <v/>
      </c>
      <c r="Z17" s="3" t="str">
        <f>IF(OR($B17="",Z$3=""),"",IF('Mass Ion Calculations'!$D$6="Yes",IF('Mass Ion Calculations'!$D$7="Yes",('Mass Ion Calculations'!$D$18+'AA Exact Masses'!$Q$2+'AA Exact Masses'!$Q$2-'Mass Ion Calculations'!$C$28-'Mass Ion Calculations'!$C18)/2-'Mass Ion Calculations'!$D$5,('Mass Ion Calculations'!$F$18+'AA Exact Masses'!$Q$2+'AA Exact Masses'!$Q$2-'Mass Ion Calculations'!$E$28-'Mass Ion Calculations'!$E18)/2-'Mass Ion Calculations'!$D$5),IF('Mass Ion Calculations'!$D$7="Yes", ('Mass Ion Calculations'!$D$15+'AA Exact Masses'!$Q$2+'AA Exact Masses'!$Q$2-'Mass Ion Calculations'!$C$28-'Mass Ion Calculations'!$C18)/2-'Mass Ion Calculations'!$D$5,('Mass Ion Calculations'!$F$15+'AA Exact Masses'!$Q$2+'AA Exact Masses'!$Q$2-'Mass Ion Calculations'!$E$28-'Mass Ion Calculations'!$E18)/2-'Mass Ion Calculations'!$D$5)))</f>
        <v/>
      </c>
    </row>
    <row r="18" spans="2:26" x14ac:dyDescent="0.25">
      <c r="B18" s="4" t="str">
        <f>IF('Mass Ion Calculations'!B19="","", 'Mass Ion Calculations'!B19)</f>
        <v>Val</v>
      </c>
      <c r="C18" s="3">
        <f>IF(OR($B18="",C$3=""),"",IF('Mass Ion Calculations'!$D$6="Yes",IF('Mass Ion Calculations'!$D$7="Yes",('Mass Ion Calculations'!$D$18+'AA Exact Masses'!$Q$2+'AA Exact Masses'!$Q$2-'Mass Ion Calculations'!$C$5-'Mass Ion Calculations'!$C19)/2-'Mass Ion Calculations'!$D$5,('Mass Ion Calculations'!$F$18+'AA Exact Masses'!$Q$2+'AA Exact Masses'!$Q$2-'Mass Ion Calculations'!$E$5-'Mass Ion Calculations'!$E19)/2-'Mass Ion Calculations'!$D$5),IF('Mass Ion Calculations'!$D$7="Yes", ('Mass Ion Calculations'!$D$15+'AA Exact Masses'!$Q$2+'AA Exact Masses'!$Q$2-'Mass Ion Calculations'!$C$5-'Mass Ion Calculations'!$C19)/2-'Mass Ion Calculations'!$D$5,('Mass Ion Calculations'!$F$15+'AA Exact Masses'!$Q$2+'AA Exact Masses'!$Q$2-'Mass Ion Calculations'!$E$5-'Mass Ion Calculations'!$E19)/2-'Mass Ion Calculations'!$D$5)))</f>
        <v>-417.60337000000004</v>
      </c>
      <c r="D18" s="3">
        <f>IF(OR($B18="",D$3=""),"",IF('Mass Ion Calculations'!$D$6="Yes",IF('Mass Ion Calculations'!$D$7="Yes",('Mass Ion Calculations'!$D$18+'AA Exact Masses'!$Q$2+'AA Exact Masses'!$Q$2-'Mass Ion Calculations'!$C$6-'Mass Ion Calculations'!$C19)/2-'Mass Ion Calculations'!$D$5,('Mass Ion Calculations'!$F$18+'AA Exact Masses'!$Q$2+'AA Exact Masses'!$Q$2-'Mass Ion Calculations'!$E$6-'Mass Ion Calculations'!$E19)/2-'Mass Ion Calculations'!$D$5),IF('Mass Ion Calculations'!$D$7="Yes", ('Mass Ion Calculations'!$D$15+'AA Exact Masses'!$Q$2+'AA Exact Masses'!$Q$2-'Mass Ion Calculations'!$C$6-'Mass Ion Calculations'!$C19)/2-'Mass Ion Calculations'!$D$5,('Mass Ion Calculations'!$F$15+'AA Exact Masses'!$Q$2+'AA Exact Masses'!$Q$2-'Mass Ion Calculations'!$E$6-'Mass Ion Calculations'!$E19)/2-'Mass Ion Calculations'!$D$5)))</f>
        <v>-396.08226500000001</v>
      </c>
      <c r="E18" s="3">
        <f>IF(OR($B18="",E$3=""),"",IF('Mass Ion Calculations'!$D$6="Yes",IF('Mass Ion Calculations'!$D$7="Yes",('Mass Ion Calculations'!$D$18+'AA Exact Masses'!$Q$2+'AA Exact Masses'!$Q$2-'Mass Ion Calculations'!$C$7-'Mass Ion Calculations'!$C19)/2-'Mass Ion Calculations'!$D$5,('Mass Ion Calculations'!$F$18+'AA Exact Masses'!$Q$2+'AA Exact Masses'!$Q$2-'Mass Ion Calculations'!$E$7-'Mass Ion Calculations'!$E19)/2-'Mass Ion Calculations'!$D$5),IF('Mass Ion Calculations'!$D$7="Yes", ('Mass Ion Calculations'!$D$15+'AA Exact Masses'!$Q$2+'AA Exact Masses'!$Q$2-'Mass Ion Calculations'!$C$7-'Mass Ion Calculations'!$C19)/2-'Mass Ion Calculations'!$D$5,('Mass Ion Calculations'!$F$15+'AA Exact Masses'!$Q$2+'AA Exact Masses'!$Q$2-'Mass Ion Calculations'!$E$7-'Mass Ion Calculations'!$E19)/2-'Mass Ion Calculations'!$D$5)))</f>
        <v>-417.10573999999997</v>
      </c>
      <c r="F18" s="3">
        <f>IF(OR($B18="",F$3=""),"",IF('Mass Ion Calculations'!$D$6="Yes",IF('Mass Ion Calculations'!$D$7="Yes",('Mass Ion Calculations'!$D$18+'AA Exact Masses'!$Q$2+'AA Exact Masses'!$Q$2-'Mass Ion Calculations'!$C$8-'Mass Ion Calculations'!$C19)/2-'Mass Ion Calculations'!$D$5,('Mass Ion Calculations'!$F$18+'AA Exact Masses'!$Q$2+'AA Exact Masses'!$Q$2-'Mass Ion Calculations'!$E$8-'Mass Ion Calculations'!$E19)/2-'Mass Ion Calculations'!$D$5),IF('Mass Ion Calculations'!$D$7="Yes", ('Mass Ion Calculations'!$D$15+'AA Exact Masses'!$Q$2+'AA Exact Masses'!$Q$2-'Mass Ion Calculations'!$C$8-'Mass Ion Calculations'!$C19)/2-'Mass Ion Calculations'!$D$5,('Mass Ion Calculations'!$F$15+'AA Exact Masses'!$Q$2+'AA Exact Masses'!$Q$2-'Mass Ion Calculations'!$E$8-'Mass Ion Calculations'!$E19)/2-'Mass Ion Calculations'!$D$5)))</f>
        <v>-417.10573999999997</v>
      </c>
      <c r="G18" s="3">
        <f>IF(OR($B18="",G$3=""),"",IF('Mass Ion Calculations'!$D$6="Yes",IF('Mass Ion Calculations'!$D$7="Yes",('Mass Ion Calculations'!$D$18+'AA Exact Masses'!$Q$2+'AA Exact Masses'!$Q$2-'Mass Ion Calculations'!$C$9-'Mass Ion Calculations'!$C19)/2-'Mass Ion Calculations'!$D$5,('Mass Ion Calculations'!$F$18+'AA Exact Masses'!$Q$2+'AA Exact Masses'!$Q$2-'Mass Ion Calculations'!$E$9-'Mass Ion Calculations'!$E19)/2-'Mass Ion Calculations'!$D$5),IF('Mass Ion Calculations'!$D$7="Yes", ('Mass Ion Calculations'!$D$15+'AA Exact Masses'!$Q$2+'AA Exact Masses'!$Q$2-'Mass Ion Calculations'!$C$9-'Mass Ion Calculations'!$C19)/2-'Mass Ion Calculations'!$D$5,('Mass Ion Calculations'!$F$15+'AA Exact Masses'!$Q$2+'AA Exact Masses'!$Q$2-'Mass Ion Calculations'!$E$9-'Mass Ion Calculations'!$E19)/2-'Mass Ion Calculations'!$D$5)))</f>
        <v>-396.08226500000001</v>
      </c>
      <c r="H18" s="3">
        <f>IF(OR($B18="",H$3=""),"",IF('Mass Ion Calculations'!$D$6="Yes",IF('Mass Ion Calculations'!$D$7="Yes",('Mass Ion Calculations'!$D$18+'AA Exact Masses'!$Q$2+'AA Exact Masses'!$Q$2-'Mass Ion Calculations'!$C$10-'Mass Ion Calculations'!$C19)/2-'Mass Ion Calculations'!$D$5,('Mass Ion Calculations'!$F$18+'AA Exact Masses'!$Q$2+'AA Exact Masses'!$Q$2-'Mass Ion Calculations'!$E$10-'Mass Ion Calculations'!$E19)/2-'Mass Ion Calculations'!$D$5),IF('Mass Ion Calculations'!$D$7="Yes", ('Mass Ion Calculations'!$D$15+'AA Exact Masses'!$Q$2+'AA Exact Masses'!$Q$2-'Mass Ion Calculations'!$C$10-'Mass Ion Calculations'!$C19)/2-'Mass Ion Calculations'!$D$5,('Mass Ion Calculations'!$F$15+'AA Exact Masses'!$Q$2+'AA Exact Masses'!$Q$2-'Mass Ion Calculations'!$E$10-'Mass Ion Calculations'!$E19)/2-'Mass Ion Calculations'!$D$5)))</f>
        <v>-417.10573999999997</v>
      </c>
      <c r="I18" s="3">
        <f>IF(OR($B18="",I$3=""),"",IF('Mass Ion Calculations'!$D$6="Yes",IF('Mass Ion Calculations'!$D$7="Yes",('Mass Ion Calculations'!$D$18+'AA Exact Masses'!$Q$2+'AA Exact Masses'!$Q$2-'Mass Ion Calculations'!$C$11-'Mass Ion Calculations'!$C19)/2-'Mass Ion Calculations'!$D$5,('Mass Ion Calculations'!$F$18+'AA Exact Masses'!$Q$2+'AA Exact Masses'!$Q$2-'Mass Ion Calculations'!$E$11-'Mass Ion Calculations'!$E19)/2-'Mass Ion Calculations'!$D$5),IF('Mass Ion Calculations'!$D$7="Yes", ('Mass Ion Calculations'!$D$15+'AA Exact Masses'!$Q$2+'AA Exact Masses'!$Q$2-'Mass Ion Calculations'!$C$11-'Mass Ion Calculations'!$C19)/2-'Mass Ion Calculations'!$D$5,('Mass Ion Calculations'!$F$15+'AA Exact Masses'!$Q$2+'AA Exact Masses'!$Q$2-'Mass Ion Calculations'!$E$11-'Mass Ion Calculations'!$E19)/2-'Mass Ion Calculations'!$D$5)))</f>
        <v>-417.60337000000004</v>
      </c>
      <c r="J18" s="3">
        <f>IF(OR($B18="",J$3=""),"",IF('Mass Ion Calculations'!$D$6="Yes",IF('Mass Ion Calculations'!$D$7="Yes",('Mass Ion Calculations'!$D$18+'AA Exact Masses'!$Q$2+'AA Exact Masses'!$Q$2-'Mass Ion Calculations'!$C$12-'Mass Ion Calculations'!$C19)/2-'Mass Ion Calculations'!$D$5,('Mass Ion Calculations'!$F$18+'AA Exact Masses'!$Q$2+'AA Exact Masses'!$Q$2-'Mass Ion Calculations'!$E$12-'Mass Ion Calculations'!$E19)/2-'Mass Ion Calculations'!$D$5),IF('Mass Ion Calculations'!$D$7="Yes", ('Mass Ion Calculations'!$D$15+'AA Exact Masses'!$Q$2+'AA Exact Masses'!$Q$2-'Mass Ion Calculations'!$C$12-'Mass Ion Calculations'!$C19)/2-'Mass Ion Calculations'!$D$5,('Mass Ion Calculations'!$F$15+'AA Exact Masses'!$Q$2+'AA Exact Masses'!$Q$2-'Mass Ion Calculations'!$E$12-'Mass Ion Calculations'!$E19)/2-'Mass Ion Calculations'!$D$5)))</f>
        <v>-410.09791500000006</v>
      </c>
      <c r="K18" s="3">
        <f>IF(OR($B18="",K$3=""),"",IF('Mass Ion Calculations'!$D$6="Yes",IF('Mass Ion Calculations'!$D$7="Yes",('Mass Ion Calculations'!$D$18+'AA Exact Masses'!$Q$2+'AA Exact Masses'!$Q$2-'Mass Ion Calculations'!$C$13-'Mass Ion Calculations'!$C19)/2-'Mass Ion Calculations'!$D$5,('Mass Ion Calculations'!$F$18+'AA Exact Masses'!$Q$2+'AA Exact Masses'!$Q$2-'Mass Ion Calculations'!$E$13-'Mass Ion Calculations'!$E19)/2-'Mass Ion Calculations'!$D$5),IF('Mass Ion Calculations'!$D$7="Yes", ('Mass Ion Calculations'!$D$15+'AA Exact Masses'!$Q$2+'AA Exact Masses'!$Q$2-'Mass Ion Calculations'!$C$13-'Mass Ion Calculations'!$C19)/2-'Mass Ion Calculations'!$D$5,('Mass Ion Calculations'!$F$15+'AA Exact Masses'!$Q$2+'AA Exact Masses'!$Q$2-'Mass Ion Calculations'!$E$13-'Mass Ion Calculations'!$E19)/2-'Mass Ion Calculations'!$D$5)))</f>
        <v>-417.60337000000004</v>
      </c>
      <c r="L18" s="3">
        <f>IF(OR($B18="",L$3=""),"",IF('Mass Ion Calculations'!$D$6="Yes",IF('Mass Ion Calculations'!$D$7="Yes",('Mass Ion Calculations'!$D$18+'AA Exact Masses'!$Q$2+'AA Exact Masses'!$Q$2-'Mass Ion Calculations'!$C$14-'Mass Ion Calculations'!$C19)/2-'Mass Ion Calculations'!$D$5,('Mass Ion Calculations'!$F$18+'AA Exact Masses'!$Q$2+'AA Exact Masses'!$Q$2-'Mass Ion Calculations'!$E$14-'Mass Ion Calculations'!$E19)/2-'Mass Ion Calculations'!$D$5),IF('Mass Ion Calculations'!$D$7="Yes", ('Mass Ion Calculations'!$D$15+'AA Exact Masses'!$Q$2+'AA Exact Masses'!$Q$2-'Mass Ion Calculations'!$C$14-'Mass Ion Calculations'!$C19)/2-'Mass Ion Calculations'!$D$5,('Mass Ion Calculations'!$F$15+'AA Exact Masses'!$Q$2+'AA Exact Masses'!$Q$2-'Mass Ion Calculations'!$E$14-'Mass Ion Calculations'!$E19)/2-'Mass Ion Calculations'!$D$5)))</f>
        <v>-425.08500500000002</v>
      </c>
      <c r="M18" s="3">
        <f>IF(OR($B18="",M$3=""),"",IF('Mass Ion Calculations'!$D$6="Yes",IF('Mass Ion Calculations'!$D$7="Yes",('Mass Ion Calculations'!$D$18+'AA Exact Masses'!$Q$2+'AA Exact Masses'!$Q$2-'Mass Ion Calculations'!$C$15-'Mass Ion Calculations'!$C19)/2-'Mass Ion Calculations'!$D$5,('Mass Ion Calculations'!$F$18+'AA Exact Masses'!$Q$2+'AA Exact Masses'!$Q$2-'Mass Ion Calculations'!$E$15-'Mass Ion Calculations'!$E19)/2-'Mass Ion Calculations'!$D$5),IF('Mass Ion Calculations'!$D$7="Yes", ('Mass Ion Calculations'!$D$15+'AA Exact Masses'!$Q$2+'AA Exact Masses'!$Q$2-'Mass Ion Calculations'!$C$15-'Mass Ion Calculations'!$C19)/2-'Mass Ion Calculations'!$D$5,('Mass Ion Calculations'!$F$15+'AA Exact Masses'!$Q$2+'AA Exact Masses'!$Q$2-'Mass Ion Calculations'!$E$15-'Mass Ion Calculations'!$E19)/2-'Mass Ion Calculations'!$D$5)))</f>
        <v>-418.07718</v>
      </c>
      <c r="N18" s="3">
        <f>IF(OR($B18="",N$3=""),"",IF('Mass Ion Calculations'!$D$6="Yes",IF('Mass Ion Calculations'!$D$7="Yes",('Mass Ion Calculations'!$D$18+'AA Exact Masses'!$Q$2+'AA Exact Masses'!$Q$2-'Mass Ion Calculations'!$C$16-'Mass Ion Calculations'!$C19)/2-'Mass Ion Calculations'!$D$5,('Mass Ion Calculations'!$F$18+'AA Exact Masses'!$Q$2+'AA Exact Masses'!$Q$2-'Mass Ion Calculations'!$E$16-'Mass Ion Calculations'!$E19)/2-'Mass Ion Calculations'!$D$5),IF('Mass Ion Calculations'!$D$7="Yes", ('Mass Ion Calculations'!$D$15+'AA Exact Masses'!$Q$2+'AA Exact Masses'!$Q$2-'Mass Ion Calculations'!$C$16-'Mass Ion Calculations'!$C19)/2-'Mass Ion Calculations'!$D$5,('Mass Ion Calculations'!$F$15+'AA Exact Masses'!$Q$2+'AA Exact Masses'!$Q$2-'Mass Ion Calculations'!$E$16-'Mass Ion Calculations'!$E19)/2-'Mass Ion Calculations'!$D$5)))</f>
        <v>-396.08226500000001</v>
      </c>
      <c r="O18" s="3">
        <f>IF(OR($B18="",O$3=""),"",IF('Mass Ion Calculations'!$D$6="Yes",IF('Mass Ion Calculations'!$D$7="Yes",('Mass Ion Calculations'!$D$18+'AA Exact Masses'!$Q$2+'AA Exact Masses'!$Q$2-'Mass Ion Calculations'!$C$17-'Mass Ion Calculations'!$C19)/2-'Mass Ion Calculations'!$D$5,('Mass Ion Calculations'!$F$18+'AA Exact Masses'!$Q$2+'AA Exact Masses'!$Q$2-'Mass Ion Calculations'!$E$17-'Mass Ion Calculations'!$E19)/2-'Mass Ion Calculations'!$D$5),IF('Mass Ion Calculations'!$D$7="Yes", ('Mass Ion Calculations'!$D$15+'AA Exact Masses'!$Q$2+'AA Exact Masses'!$Q$2-'Mass Ion Calculations'!$C$17-'Mass Ion Calculations'!$C19)/2-'Mass Ion Calculations'!$D$5,('Mass Ion Calculations'!$F$15+'AA Exact Masses'!$Q$2+'AA Exact Masses'!$Q$2-'Mass Ion Calculations'!$E$17-'Mass Ion Calculations'!$E19)/2-'Mass Ion Calculations'!$D$5)))</f>
        <v>-434.09791500000006</v>
      </c>
      <c r="P18" s="3">
        <f>IF(OR($B18="",P$3=""),"",IF('Mass Ion Calculations'!$D$6="Yes",IF('Mass Ion Calculations'!$D$7="Yes",('Mass Ion Calculations'!$D$18+'AA Exact Masses'!$Q$2+'AA Exact Masses'!$Q$2-'Mass Ion Calculations'!$C$18-'Mass Ion Calculations'!$C19)/2-'Mass Ion Calculations'!$D$5,('Mass Ion Calculations'!$F$18+'AA Exact Masses'!$Q$2+'AA Exact Masses'!$Q$2-'Mass Ion Calculations'!$E$18-'Mass Ion Calculations'!$E19)/2-'Mass Ion Calculations'!$D$5),IF('Mass Ion Calculations'!$D$7="Yes", ('Mass Ion Calculations'!$D$15+'AA Exact Masses'!$Q$2+'AA Exact Masses'!$Q$2-'Mass Ion Calculations'!$C$18-'Mass Ion Calculations'!$C19)/2-'Mass Ion Calculations'!$D$5,('Mass Ion Calculations'!$F$15+'AA Exact Masses'!$Q$2+'AA Exact Masses'!$Q$2-'Mass Ion Calculations'!$E$18-'Mass Ion Calculations'!$E19)/2-'Mass Ion Calculations'!$D$5)))</f>
        <v>-497.04624000000001</v>
      </c>
      <c r="Q18" s="3">
        <f>IF(OR($B18="",Q$3=""),"",IF('Mass Ion Calculations'!$D$6="Yes",IF('Mass Ion Calculations'!$D$7="Yes",('Mass Ion Calculations'!$D$18+'AA Exact Masses'!$Q$2+'AA Exact Masses'!$Q$2-'Mass Ion Calculations'!$C$19-'Mass Ion Calculations'!$C19)/2-'Mass Ion Calculations'!$D$5,('Mass Ion Calculations'!$F$18+'AA Exact Masses'!$Q$2+'AA Exact Masses'!$Q$2-'Mass Ion Calculations'!$E$19-'Mass Ion Calculations'!$E19)/2-'Mass Ion Calculations'!$D$5),IF('Mass Ion Calculations'!$D$7="Yes", ('Mass Ion Calculations'!$D$15+'AA Exact Masses'!$Q$2+'AA Exact Masses'!$Q$2-'Mass Ion Calculations'!$C$19-'Mass Ion Calculations'!$C19)/2-'Mass Ion Calculations'!$D$5,('Mass Ion Calculations'!$F$15+'AA Exact Masses'!$Q$2+'AA Exact Masses'!$Q$2-'Mass Ion Calculations'!$E$19-'Mass Ion Calculations'!$E19)/2-'Mass Ion Calculations'!$D$5)))</f>
        <v>-410.09791500000006</v>
      </c>
      <c r="R18" s="3">
        <f>IF(OR($B18="",R$3=""),"",IF('Mass Ion Calculations'!$D$6="Yes",IF('Mass Ion Calculations'!$D$7="Yes",('Mass Ion Calculations'!$D$18+'AA Exact Masses'!$Q$2+'AA Exact Masses'!$Q$2-'Mass Ion Calculations'!$C$20-'Mass Ion Calculations'!$C19)/2-'Mass Ion Calculations'!$D$5,('Mass Ion Calculations'!$F$18+'AA Exact Masses'!$Q$2+'AA Exact Masses'!$Q$2-'Mass Ion Calculations'!$E$20-'Mass Ion Calculations'!$E19)/2-'Mass Ion Calculations'!$D$5),IF('Mass Ion Calculations'!$D$7="Yes", ('Mass Ion Calculations'!$D$15+'AA Exact Masses'!$Q$2+'AA Exact Masses'!$Q$2-'Mass Ion Calculations'!$C$20-'Mass Ion Calculations'!$C19)/2-'Mass Ion Calculations'!$D$5,('Mass Ion Calculations'!$F$15+'AA Exact Masses'!$Q$2+'AA Exact Masses'!$Q$2-'Mass Ion Calculations'!$E$20-'Mass Ion Calculations'!$E19)/2-'Mass Ion Calculations'!$D$5)))</f>
        <v>-417.10573999999997</v>
      </c>
      <c r="S18" s="3" t="str">
        <f>IF(OR($B18="",S$3=""),"",IF('Mass Ion Calculations'!$D$6="Yes",IF('Mass Ion Calculations'!$D$7="Yes",('Mass Ion Calculations'!$D$18+'AA Exact Masses'!$Q$2+'AA Exact Masses'!$Q$2-'Mass Ion Calculations'!$C$21-'Mass Ion Calculations'!$C19)/2-'Mass Ion Calculations'!$D$5,('Mass Ion Calculations'!$F$18+'AA Exact Masses'!$Q$2+'AA Exact Masses'!$Q$2-'Mass Ion Calculations'!$E$21-'Mass Ion Calculations'!$E19)/2-'Mass Ion Calculations'!$D$5),IF('Mass Ion Calculations'!$D$7="Yes", ('Mass Ion Calculations'!$D$15+'AA Exact Masses'!$Q$2+'AA Exact Masses'!$Q$2-'Mass Ion Calculations'!$C$21-'Mass Ion Calculations'!$C19)/2-'Mass Ion Calculations'!$D$5,('Mass Ion Calculations'!$F$15+'AA Exact Masses'!$Q$2+'AA Exact Masses'!$Q$2-'Mass Ion Calculations'!$E$21-'Mass Ion Calculations'!$E19)/2-'Mass Ion Calculations'!$D$5)))</f>
        <v/>
      </c>
      <c r="T18" s="3" t="e">
        <f>IF(OR($B18="",T$3=""),"",IF('Mass Ion Calculations'!$D$6="Yes",IF('Mass Ion Calculations'!$D$7="Yes",('Mass Ion Calculations'!$D$18+'AA Exact Masses'!$Q$2+'AA Exact Masses'!$Q$2-'Mass Ion Calculations'!$C$22-'Mass Ion Calculations'!$C19)/2-'Mass Ion Calculations'!$D$5,('Mass Ion Calculations'!$F$18+'AA Exact Masses'!$Q$2+'AA Exact Masses'!$Q$2-'Mass Ion Calculations'!$E$22-'Mass Ion Calculations'!$E19)/2-'Mass Ion Calculations'!$D$5),IF('Mass Ion Calculations'!$D$7="Yes", ('Mass Ion Calculations'!$D$15+'AA Exact Masses'!$Q$2+'AA Exact Masses'!$Q$2-'Mass Ion Calculations'!$C$22-'Mass Ion Calculations'!$C19)/2-'Mass Ion Calculations'!$D$5,('Mass Ion Calculations'!$F$15+'AA Exact Masses'!$Q$2+'AA Exact Masses'!$Q$2-'Mass Ion Calculations'!$E$22-'Mass Ion Calculations'!$E19)/2-'Mass Ion Calculations'!$D$5)))</f>
        <v>#VALUE!</v>
      </c>
      <c r="U18" s="3" t="e">
        <f>IF(OR($B18="",U$3=""),"",IF('Mass Ion Calculations'!$D$6="Yes",IF('Mass Ion Calculations'!$D$7="Yes",('Mass Ion Calculations'!$D$18+'AA Exact Masses'!$Q$2+'AA Exact Masses'!$Q$2-'Mass Ion Calculations'!$C$23-'Mass Ion Calculations'!$C19)/2-'Mass Ion Calculations'!$D$5,('Mass Ion Calculations'!$F$18+'AA Exact Masses'!$Q$2+'AA Exact Masses'!$Q$2-'Mass Ion Calculations'!$E$23-'Mass Ion Calculations'!$E19)/2-'Mass Ion Calculations'!$D$5),IF('Mass Ion Calculations'!$D$7="Yes", ('Mass Ion Calculations'!$D$15+'AA Exact Masses'!$Q$2+'AA Exact Masses'!$Q$2-'Mass Ion Calculations'!$C$23-'Mass Ion Calculations'!$C19)/2-'Mass Ion Calculations'!$D$5,('Mass Ion Calculations'!$F$15+'AA Exact Masses'!$Q$2+'AA Exact Masses'!$Q$2-'Mass Ion Calculations'!$E$23-'Mass Ion Calculations'!$E19)/2-'Mass Ion Calculations'!$D$5)))</f>
        <v>#VALUE!</v>
      </c>
      <c r="V18" s="3" t="str">
        <f>IF(OR($B18="",V$3=""),"",IF('Mass Ion Calculations'!$D$6="Yes",IF('Mass Ion Calculations'!$D$7="Yes",('Mass Ion Calculations'!$D$18+'AA Exact Masses'!$Q$2+'AA Exact Masses'!$Q$2-'Mass Ion Calculations'!$C$24-'Mass Ion Calculations'!$C19)/2-'Mass Ion Calculations'!$D$5,('Mass Ion Calculations'!$F$18+'AA Exact Masses'!$Q$2+'AA Exact Masses'!$Q$2-'Mass Ion Calculations'!$E$24-'Mass Ion Calculations'!$E19)/2-'Mass Ion Calculations'!$D$5),IF('Mass Ion Calculations'!$D$7="Yes", ('Mass Ion Calculations'!$D$15+'AA Exact Masses'!$Q$2+'AA Exact Masses'!$Q$2-'Mass Ion Calculations'!$C$24-'Mass Ion Calculations'!$C19)/2-'Mass Ion Calculations'!$D$5,('Mass Ion Calculations'!$F$15+'AA Exact Masses'!$Q$2+'AA Exact Masses'!$Q$2-'Mass Ion Calculations'!$E$24-'Mass Ion Calculations'!$E19)/2-'Mass Ion Calculations'!$D$5)))</f>
        <v/>
      </c>
      <c r="W18" s="3" t="str">
        <f>IF(OR($B18="",W$3=""),"",IF('Mass Ion Calculations'!$D$6="Yes",IF('Mass Ion Calculations'!$D$7="Yes",('Mass Ion Calculations'!$D$18+'AA Exact Masses'!$Q$2+'AA Exact Masses'!$Q$2-'Mass Ion Calculations'!$C$25-'Mass Ion Calculations'!$C19)/2-'Mass Ion Calculations'!$D$5,('Mass Ion Calculations'!$F$18+'AA Exact Masses'!$Q$2+'AA Exact Masses'!$Q$2-'Mass Ion Calculations'!$E$25-'Mass Ion Calculations'!$E19)/2-'Mass Ion Calculations'!$D$5),IF('Mass Ion Calculations'!$D$7="Yes", ('Mass Ion Calculations'!$D$15+'AA Exact Masses'!$Q$2+'AA Exact Masses'!$Q$2-'Mass Ion Calculations'!$C$25-'Mass Ion Calculations'!$C19)/2-'Mass Ion Calculations'!$D$5,('Mass Ion Calculations'!$F$15+'AA Exact Masses'!$Q$2+'AA Exact Masses'!$Q$2-'Mass Ion Calculations'!$E$25-'Mass Ion Calculations'!$E19)/2-'Mass Ion Calculations'!$D$5)))</f>
        <v/>
      </c>
      <c r="X18" s="3" t="str">
        <f>IF(OR($B18="",X$3=""),"",IF('Mass Ion Calculations'!$D$6="Yes",IF('Mass Ion Calculations'!$D$7="Yes",('Mass Ion Calculations'!$D$18+'AA Exact Masses'!$Q$2+'AA Exact Masses'!$Q$2-'Mass Ion Calculations'!$C$26-'Mass Ion Calculations'!$C19)/2-'Mass Ion Calculations'!$D$5,('Mass Ion Calculations'!$F$18+'AA Exact Masses'!$Q$2+'AA Exact Masses'!$Q$2-'Mass Ion Calculations'!$E$26-'Mass Ion Calculations'!$E19)/2-'Mass Ion Calculations'!$D$5),IF('Mass Ion Calculations'!$D$7="Yes", ('Mass Ion Calculations'!$D$15+'AA Exact Masses'!$Q$2+'AA Exact Masses'!$Q$2-'Mass Ion Calculations'!$C$26-'Mass Ion Calculations'!$C19)/2-'Mass Ion Calculations'!$D$5,('Mass Ion Calculations'!$F$15+'AA Exact Masses'!$Q$2+'AA Exact Masses'!$Q$2-'Mass Ion Calculations'!$E$26-'Mass Ion Calculations'!$E19)/2-'Mass Ion Calculations'!$D$5)))</f>
        <v/>
      </c>
      <c r="Y18" s="3" t="str">
        <f>IF(OR($B18="",Y$3=""),"",IF('Mass Ion Calculations'!$D$6="Yes",IF('Mass Ion Calculations'!$D$7="Yes",('Mass Ion Calculations'!$D$18+'AA Exact Masses'!$Q$2+'AA Exact Masses'!$Q$2-'Mass Ion Calculations'!$C$27-'Mass Ion Calculations'!$C19)/2-'Mass Ion Calculations'!$D$5,('Mass Ion Calculations'!$F$18+'AA Exact Masses'!$Q$2+'AA Exact Masses'!$Q$2-'Mass Ion Calculations'!$E$27-'Mass Ion Calculations'!$E19)/2-'Mass Ion Calculations'!$D$5),IF('Mass Ion Calculations'!$D$7="Yes", ('Mass Ion Calculations'!$D$15+'AA Exact Masses'!$Q$2+'AA Exact Masses'!$Q$2-'Mass Ion Calculations'!$C$27-'Mass Ion Calculations'!$C19)/2-'Mass Ion Calculations'!$D$5,('Mass Ion Calculations'!$F$15+'AA Exact Masses'!$Q$2+'AA Exact Masses'!$Q$2-'Mass Ion Calculations'!$E$27-'Mass Ion Calculations'!$E19)/2-'Mass Ion Calculations'!$D$5)))</f>
        <v/>
      </c>
      <c r="Z18" s="3" t="str">
        <f>IF(OR($B18="",Z$3=""),"",IF('Mass Ion Calculations'!$D$6="Yes",IF('Mass Ion Calculations'!$D$7="Yes",('Mass Ion Calculations'!$D$18+'AA Exact Masses'!$Q$2+'AA Exact Masses'!$Q$2-'Mass Ion Calculations'!$C$28-'Mass Ion Calculations'!$C19)/2-'Mass Ion Calculations'!$D$5,('Mass Ion Calculations'!$F$18+'AA Exact Masses'!$Q$2+'AA Exact Masses'!$Q$2-'Mass Ion Calculations'!$E$28-'Mass Ion Calculations'!$E19)/2-'Mass Ion Calculations'!$D$5),IF('Mass Ion Calculations'!$D$7="Yes", ('Mass Ion Calculations'!$D$15+'AA Exact Masses'!$Q$2+'AA Exact Masses'!$Q$2-'Mass Ion Calculations'!$C$28-'Mass Ion Calculations'!$C19)/2-'Mass Ion Calculations'!$D$5,('Mass Ion Calculations'!$F$15+'AA Exact Masses'!$Q$2+'AA Exact Masses'!$Q$2-'Mass Ion Calculations'!$E$28-'Mass Ion Calculations'!$E19)/2-'Mass Ion Calculations'!$D$5)))</f>
        <v/>
      </c>
    </row>
    <row r="19" spans="2:26" x14ac:dyDescent="0.25">
      <c r="B19" s="4" t="str">
        <f>IF('Mass Ion Calculations'!B20="","", 'Mass Ion Calculations'!B20)</f>
        <v>Leu</v>
      </c>
      <c r="C19" s="3">
        <f>IF(OR($B19="",C$3=""),"",IF('Mass Ion Calculations'!$D$6="Yes",IF('Mass Ion Calculations'!$D$7="Yes",('Mass Ion Calculations'!$D$18+'AA Exact Masses'!$Q$2+'AA Exact Masses'!$Q$2-'Mass Ion Calculations'!$C$5-'Mass Ion Calculations'!$C20)/2-'Mass Ion Calculations'!$D$5,('Mass Ion Calculations'!$F$18+'AA Exact Masses'!$Q$2+'AA Exact Masses'!$Q$2-'Mass Ion Calculations'!$E$5-'Mass Ion Calculations'!$E20)/2-'Mass Ion Calculations'!$D$5),IF('Mass Ion Calculations'!$D$7="Yes", ('Mass Ion Calculations'!$D$15+'AA Exact Masses'!$Q$2+'AA Exact Masses'!$Q$2-'Mass Ion Calculations'!$C$5-'Mass Ion Calculations'!$C20)/2-'Mass Ion Calculations'!$D$5,('Mass Ion Calculations'!$F$15+'AA Exact Masses'!$Q$2+'AA Exact Masses'!$Q$2-'Mass Ion Calculations'!$E$5-'Mass Ion Calculations'!$E20)/2-'Mass Ion Calculations'!$D$5)))</f>
        <v>-424.61119499999995</v>
      </c>
      <c r="D19" s="3">
        <f>IF(OR($B19="",D$3=""),"",IF('Mass Ion Calculations'!$D$6="Yes",IF('Mass Ion Calculations'!$D$7="Yes",('Mass Ion Calculations'!$D$18+'AA Exact Masses'!$Q$2+'AA Exact Masses'!$Q$2-'Mass Ion Calculations'!$C$6-'Mass Ion Calculations'!$C20)/2-'Mass Ion Calculations'!$D$5,('Mass Ion Calculations'!$F$18+'AA Exact Masses'!$Q$2+'AA Exact Masses'!$Q$2-'Mass Ion Calculations'!$E$6-'Mass Ion Calculations'!$E20)/2-'Mass Ion Calculations'!$D$5),IF('Mass Ion Calculations'!$D$7="Yes", ('Mass Ion Calculations'!$D$15+'AA Exact Masses'!$Q$2+'AA Exact Masses'!$Q$2-'Mass Ion Calculations'!$C$6-'Mass Ion Calculations'!$C20)/2-'Mass Ion Calculations'!$D$5,('Mass Ion Calculations'!$F$15+'AA Exact Masses'!$Q$2+'AA Exact Masses'!$Q$2-'Mass Ion Calculations'!$E$6-'Mass Ion Calculations'!$E20)/2-'Mass Ion Calculations'!$D$5)))</f>
        <v>-403.09008999999992</v>
      </c>
      <c r="E19" s="3">
        <f>IF(OR($B19="",E$3=""),"",IF('Mass Ion Calculations'!$D$6="Yes",IF('Mass Ion Calculations'!$D$7="Yes",('Mass Ion Calculations'!$D$18+'AA Exact Masses'!$Q$2+'AA Exact Masses'!$Q$2-'Mass Ion Calculations'!$C$7-'Mass Ion Calculations'!$C20)/2-'Mass Ion Calculations'!$D$5,('Mass Ion Calculations'!$F$18+'AA Exact Masses'!$Q$2+'AA Exact Masses'!$Q$2-'Mass Ion Calculations'!$E$7-'Mass Ion Calculations'!$E20)/2-'Mass Ion Calculations'!$D$5),IF('Mass Ion Calculations'!$D$7="Yes", ('Mass Ion Calculations'!$D$15+'AA Exact Masses'!$Q$2+'AA Exact Masses'!$Q$2-'Mass Ion Calculations'!$C$7-'Mass Ion Calculations'!$C20)/2-'Mass Ion Calculations'!$D$5,('Mass Ion Calculations'!$F$15+'AA Exact Masses'!$Q$2+'AA Exact Masses'!$Q$2-'Mass Ion Calculations'!$E$7-'Mass Ion Calculations'!$E20)/2-'Mass Ion Calculations'!$D$5)))</f>
        <v>-424.11356499999988</v>
      </c>
      <c r="F19" s="3">
        <f>IF(OR($B19="",F$3=""),"",IF('Mass Ion Calculations'!$D$6="Yes",IF('Mass Ion Calculations'!$D$7="Yes",('Mass Ion Calculations'!$D$18+'AA Exact Masses'!$Q$2+'AA Exact Masses'!$Q$2-'Mass Ion Calculations'!$C$8-'Mass Ion Calculations'!$C20)/2-'Mass Ion Calculations'!$D$5,('Mass Ion Calculations'!$F$18+'AA Exact Masses'!$Q$2+'AA Exact Masses'!$Q$2-'Mass Ion Calculations'!$E$8-'Mass Ion Calculations'!$E20)/2-'Mass Ion Calculations'!$D$5),IF('Mass Ion Calculations'!$D$7="Yes", ('Mass Ion Calculations'!$D$15+'AA Exact Masses'!$Q$2+'AA Exact Masses'!$Q$2-'Mass Ion Calculations'!$C$8-'Mass Ion Calculations'!$C20)/2-'Mass Ion Calculations'!$D$5,('Mass Ion Calculations'!$F$15+'AA Exact Masses'!$Q$2+'AA Exact Masses'!$Q$2-'Mass Ion Calculations'!$E$8-'Mass Ion Calculations'!$E20)/2-'Mass Ion Calculations'!$D$5)))</f>
        <v>-424.11356499999988</v>
      </c>
      <c r="G19" s="3">
        <f>IF(OR($B19="",G$3=""),"",IF('Mass Ion Calculations'!$D$6="Yes",IF('Mass Ion Calculations'!$D$7="Yes",('Mass Ion Calculations'!$D$18+'AA Exact Masses'!$Q$2+'AA Exact Masses'!$Q$2-'Mass Ion Calculations'!$C$9-'Mass Ion Calculations'!$C20)/2-'Mass Ion Calculations'!$D$5,('Mass Ion Calculations'!$F$18+'AA Exact Masses'!$Q$2+'AA Exact Masses'!$Q$2-'Mass Ion Calculations'!$E$9-'Mass Ion Calculations'!$E20)/2-'Mass Ion Calculations'!$D$5),IF('Mass Ion Calculations'!$D$7="Yes", ('Mass Ion Calculations'!$D$15+'AA Exact Masses'!$Q$2+'AA Exact Masses'!$Q$2-'Mass Ion Calculations'!$C$9-'Mass Ion Calculations'!$C20)/2-'Mass Ion Calculations'!$D$5,('Mass Ion Calculations'!$F$15+'AA Exact Masses'!$Q$2+'AA Exact Masses'!$Q$2-'Mass Ion Calculations'!$E$9-'Mass Ion Calculations'!$E20)/2-'Mass Ion Calculations'!$D$5)))</f>
        <v>-403.09008999999992</v>
      </c>
      <c r="H19" s="3">
        <f>IF(OR($B19="",H$3=""),"",IF('Mass Ion Calculations'!$D$6="Yes",IF('Mass Ion Calculations'!$D$7="Yes",('Mass Ion Calculations'!$D$18+'AA Exact Masses'!$Q$2+'AA Exact Masses'!$Q$2-'Mass Ion Calculations'!$C$10-'Mass Ion Calculations'!$C20)/2-'Mass Ion Calculations'!$D$5,('Mass Ion Calculations'!$F$18+'AA Exact Masses'!$Q$2+'AA Exact Masses'!$Q$2-'Mass Ion Calculations'!$E$10-'Mass Ion Calculations'!$E20)/2-'Mass Ion Calculations'!$D$5),IF('Mass Ion Calculations'!$D$7="Yes", ('Mass Ion Calculations'!$D$15+'AA Exact Masses'!$Q$2+'AA Exact Masses'!$Q$2-'Mass Ion Calculations'!$C$10-'Mass Ion Calculations'!$C20)/2-'Mass Ion Calculations'!$D$5,('Mass Ion Calculations'!$F$15+'AA Exact Masses'!$Q$2+'AA Exact Masses'!$Q$2-'Mass Ion Calculations'!$E$10-'Mass Ion Calculations'!$E20)/2-'Mass Ion Calculations'!$D$5)))</f>
        <v>-424.11356499999988</v>
      </c>
      <c r="I19" s="3">
        <f>IF(OR($B19="",I$3=""),"",IF('Mass Ion Calculations'!$D$6="Yes",IF('Mass Ion Calculations'!$D$7="Yes",('Mass Ion Calculations'!$D$18+'AA Exact Masses'!$Q$2+'AA Exact Masses'!$Q$2-'Mass Ion Calculations'!$C$11-'Mass Ion Calculations'!$C20)/2-'Mass Ion Calculations'!$D$5,('Mass Ion Calculations'!$F$18+'AA Exact Masses'!$Q$2+'AA Exact Masses'!$Q$2-'Mass Ion Calculations'!$E$11-'Mass Ion Calculations'!$E20)/2-'Mass Ion Calculations'!$D$5),IF('Mass Ion Calculations'!$D$7="Yes", ('Mass Ion Calculations'!$D$15+'AA Exact Masses'!$Q$2+'AA Exact Masses'!$Q$2-'Mass Ion Calculations'!$C$11-'Mass Ion Calculations'!$C20)/2-'Mass Ion Calculations'!$D$5,('Mass Ion Calculations'!$F$15+'AA Exact Masses'!$Q$2+'AA Exact Masses'!$Q$2-'Mass Ion Calculations'!$E$11-'Mass Ion Calculations'!$E20)/2-'Mass Ion Calculations'!$D$5)))</f>
        <v>-424.61119499999995</v>
      </c>
      <c r="J19" s="3">
        <f>IF(OR($B19="",J$3=""),"",IF('Mass Ion Calculations'!$D$6="Yes",IF('Mass Ion Calculations'!$D$7="Yes",('Mass Ion Calculations'!$D$18+'AA Exact Masses'!$Q$2+'AA Exact Masses'!$Q$2-'Mass Ion Calculations'!$C$12-'Mass Ion Calculations'!$C20)/2-'Mass Ion Calculations'!$D$5,('Mass Ion Calculations'!$F$18+'AA Exact Masses'!$Q$2+'AA Exact Masses'!$Q$2-'Mass Ion Calculations'!$E$12-'Mass Ion Calculations'!$E20)/2-'Mass Ion Calculations'!$D$5),IF('Mass Ion Calculations'!$D$7="Yes", ('Mass Ion Calculations'!$D$15+'AA Exact Masses'!$Q$2+'AA Exact Masses'!$Q$2-'Mass Ion Calculations'!$C$12-'Mass Ion Calculations'!$C20)/2-'Mass Ion Calculations'!$D$5,('Mass Ion Calculations'!$F$15+'AA Exact Masses'!$Q$2+'AA Exact Masses'!$Q$2-'Mass Ion Calculations'!$E$12-'Mass Ion Calculations'!$E20)/2-'Mass Ion Calculations'!$D$5)))</f>
        <v>-417.10573999999997</v>
      </c>
      <c r="K19" s="3">
        <f>IF(OR($B19="",K$3=""),"",IF('Mass Ion Calculations'!$D$6="Yes",IF('Mass Ion Calculations'!$D$7="Yes",('Mass Ion Calculations'!$D$18+'AA Exact Masses'!$Q$2+'AA Exact Masses'!$Q$2-'Mass Ion Calculations'!$C$13-'Mass Ion Calculations'!$C20)/2-'Mass Ion Calculations'!$D$5,('Mass Ion Calculations'!$F$18+'AA Exact Masses'!$Q$2+'AA Exact Masses'!$Q$2-'Mass Ion Calculations'!$E$13-'Mass Ion Calculations'!$E20)/2-'Mass Ion Calculations'!$D$5),IF('Mass Ion Calculations'!$D$7="Yes", ('Mass Ion Calculations'!$D$15+'AA Exact Masses'!$Q$2+'AA Exact Masses'!$Q$2-'Mass Ion Calculations'!$C$13-'Mass Ion Calculations'!$C20)/2-'Mass Ion Calculations'!$D$5,('Mass Ion Calculations'!$F$15+'AA Exact Masses'!$Q$2+'AA Exact Masses'!$Q$2-'Mass Ion Calculations'!$E$13-'Mass Ion Calculations'!$E20)/2-'Mass Ion Calculations'!$D$5)))</f>
        <v>-424.61119499999995</v>
      </c>
      <c r="L19" s="3">
        <f>IF(OR($B19="",L$3=""),"",IF('Mass Ion Calculations'!$D$6="Yes",IF('Mass Ion Calculations'!$D$7="Yes",('Mass Ion Calculations'!$D$18+'AA Exact Masses'!$Q$2+'AA Exact Masses'!$Q$2-'Mass Ion Calculations'!$C$14-'Mass Ion Calculations'!$C20)/2-'Mass Ion Calculations'!$D$5,('Mass Ion Calculations'!$F$18+'AA Exact Masses'!$Q$2+'AA Exact Masses'!$Q$2-'Mass Ion Calculations'!$E$14-'Mass Ion Calculations'!$E20)/2-'Mass Ion Calculations'!$D$5),IF('Mass Ion Calculations'!$D$7="Yes", ('Mass Ion Calculations'!$D$15+'AA Exact Masses'!$Q$2+'AA Exact Masses'!$Q$2-'Mass Ion Calculations'!$C$14-'Mass Ion Calculations'!$C20)/2-'Mass Ion Calculations'!$D$5,('Mass Ion Calculations'!$F$15+'AA Exact Masses'!$Q$2+'AA Exact Masses'!$Q$2-'Mass Ion Calculations'!$E$14-'Mass Ion Calculations'!$E20)/2-'Mass Ion Calculations'!$D$5)))</f>
        <v>-432.09282999999994</v>
      </c>
      <c r="M19" s="3">
        <f>IF(OR($B19="",M$3=""),"",IF('Mass Ion Calculations'!$D$6="Yes",IF('Mass Ion Calculations'!$D$7="Yes",('Mass Ion Calculations'!$D$18+'AA Exact Masses'!$Q$2+'AA Exact Masses'!$Q$2-'Mass Ion Calculations'!$C$15-'Mass Ion Calculations'!$C20)/2-'Mass Ion Calculations'!$D$5,('Mass Ion Calculations'!$F$18+'AA Exact Masses'!$Q$2+'AA Exact Masses'!$Q$2-'Mass Ion Calculations'!$E$15-'Mass Ion Calculations'!$E20)/2-'Mass Ion Calculations'!$D$5),IF('Mass Ion Calculations'!$D$7="Yes", ('Mass Ion Calculations'!$D$15+'AA Exact Masses'!$Q$2+'AA Exact Masses'!$Q$2-'Mass Ion Calculations'!$C$15-'Mass Ion Calculations'!$C20)/2-'Mass Ion Calculations'!$D$5,('Mass Ion Calculations'!$F$15+'AA Exact Masses'!$Q$2+'AA Exact Masses'!$Q$2-'Mass Ion Calculations'!$E$15-'Mass Ion Calculations'!$E20)/2-'Mass Ion Calculations'!$D$5)))</f>
        <v>-425.08500499999991</v>
      </c>
      <c r="N19" s="3">
        <f>IF(OR($B19="",N$3=""),"",IF('Mass Ion Calculations'!$D$6="Yes",IF('Mass Ion Calculations'!$D$7="Yes",('Mass Ion Calculations'!$D$18+'AA Exact Masses'!$Q$2+'AA Exact Masses'!$Q$2-'Mass Ion Calculations'!$C$16-'Mass Ion Calculations'!$C20)/2-'Mass Ion Calculations'!$D$5,('Mass Ion Calculations'!$F$18+'AA Exact Masses'!$Q$2+'AA Exact Masses'!$Q$2-'Mass Ion Calculations'!$E$16-'Mass Ion Calculations'!$E20)/2-'Mass Ion Calculations'!$D$5),IF('Mass Ion Calculations'!$D$7="Yes", ('Mass Ion Calculations'!$D$15+'AA Exact Masses'!$Q$2+'AA Exact Masses'!$Q$2-'Mass Ion Calculations'!$C$16-'Mass Ion Calculations'!$C20)/2-'Mass Ion Calculations'!$D$5,('Mass Ion Calculations'!$F$15+'AA Exact Masses'!$Q$2+'AA Exact Masses'!$Q$2-'Mass Ion Calculations'!$E$16-'Mass Ion Calculations'!$E20)/2-'Mass Ion Calculations'!$D$5)))</f>
        <v>-403.09008999999992</v>
      </c>
      <c r="O19" s="3">
        <f>IF(OR($B19="",O$3=""),"",IF('Mass Ion Calculations'!$D$6="Yes",IF('Mass Ion Calculations'!$D$7="Yes",('Mass Ion Calculations'!$D$18+'AA Exact Masses'!$Q$2+'AA Exact Masses'!$Q$2-'Mass Ion Calculations'!$C$17-'Mass Ion Calculations'!$C20)/2-'Mass Ion Calculations'!$D$5,('Mass Ion Calculations'!$F$18+'AA Exact Masses'!$Q$2+'AA Exact Masses'!$Q$2-'Mass Ion Calculations'!$E$17-'Mass Ion Calculations'!$E20)/2-'Mass Ion Calculations'!$D$5),IF('Mass Ion Calculations'!$D$7="Yes", ('Mass Ion Calculations'!$D$15+'AA Exact Masses'!$Q$2+'AA Exact Masses'!$Q$2-'Mass Ion Calculations'!$C$17-'Mass Ion Calculations'!$C20)/2-'Mass Ion Calculations'!$D$5,('Mass Ion Calculations'!$F$15+'AA Exact Masses'!$Q$2+'AA Exact Masses'!$Q$2-'Mass Ion Calculations'!$E$17-'Mass Ion Calculations'!$E20)/2-'Mass Ion Calculations'!$D$5)))</f>
        <v>-441.10573999999997</v>
      </c>
      <c r="P19" s="3">
        <f>IF(OR($B19="",P$3=""),"",IF('Mass Ion Calculations'!$D$6="Yes",IF('Mass Ion Calculations'!$D$7="Yes",('Mass Ion Calculations'!$D$18+'AA Exact Masses'!$Q$2+'AA Exact Masses'!$Q$2-'Mass Ion Calculations'!$C$18-'Mass Ion Calculations'!$C20)/2-'Mass Ion Calculations'!$D$5,('Mass Ion Calculations'!$F$18+'AA Exact Masses'!$Q$2+'AA Exact Masses'!$Q$2-'Mass Ion Calculations'!$E$18-'Mass Ion Calculations'!$E20)/2-'Mass Ion Calculations'!$D$5),IF('Mass Ion Calculations'!$D$7="Yes", ('Mass Ion Calculations'!$D$15+'AA Exact Masses'!$Q$2+'AA Exact Masses'!$Q$2-'Mass Ion Calculations'!$C$18-'Mass Ion Calculations'!$C20)/2-'Mass Ion Calculations'!$D$5,('Mass Ion Calculations'!$F$15+'AA Exact Masses'!$Q$2+'AA Exact Masses'!$Q$2-'Mass Ion Calculations'!$E$18-'Mass Ion Calculations'!$E20)/2-'Mass Ion Calculations'!$D$5)))</f>
        <v>-504.05406499999992</v>
      </c>
      <c r="Q19" s="3">
        <f>IF(OR($B19="",Q$3=""),"",IF('Mass Ion Calculations'!$D$6="Yes",IF('Mass Ion Calculations'!$D$7="Yes",('Mass Ion Calculations'!$D$18+'AA Exact Masses'!$Q$2+'AA Exact Masses'!$Q$2-'Mass Ion Calculations'!$C$19-'Mass Ion Calculations'!$C20)/2-'Mass Ion Calculations'!$D$5,('Mass Ion Calculations'!$F$18+'AA Exact Masses'!$Q$2+'AA Exact Masses'!$Q$2-'Mass Ion Calculations'!$E$19-'Mass Ion Calculations'!$E20)/2-'Mass Ion Calculations'!$D$5),IF('Mass Ion Calculations'!$D$7="Yes", ('Mass Ion Calculations'!$D$15+'AA Exact Masses'!$Q$2+'AA Exact Masses'!$Q$2-'Mass Ion Calculations'!$C$19-'Mass Ion Calculations'!$C20)/2-'Mass Ion Calculations'!$D$5,('Mass Ion Calculations'!$F$15+'AA Exact Masses'!$Q$2+'AA Exact Masses'!$Q$2-'Mass Ion Calculations'!$E$19-'Mass Ion Calculations'!$E20)/2-'Mass Ion Calculations'!$D$5)))</f>
        <v>-417.10573999999997</v>
      </c>
      <c r="R19" s="3">
        <f>IF(OR($B19="",R$3=""),"",IF('Mass Ion Calculations'!$D$6="Yes",IF('Mass Ion Calculations'!$D$7="Yes",('Mass Ion Calculations'!$D$18+'AA Exact Masses'!$Q$2+'AA Exact Masses'!$Q$2-'Mass Ion Calculations'!$C$20-'Mass Ion Calculations'!$C20)/2-'Mass Ion Calculations'!$D$5,('Mass Ion Calculations'!$F$18+'AA Exact Masses'!$Q$2+'AA Exact Masses'!$Q$2-'Mass Ion Calculations'!$E$20-'Mass Ion Calculations'!$E20)/2-'Mass Ion Calculations'!$D$5),IF('Mass Ion Calculations'!$D$7="Yes", ('Mass Ion Calculations'!$D$15+'AA Exact Masses'!$Q$2+'AA Exact Masses'!$Q$2-'Mass Ion Calculations'!$C$20-'Mass Ion Calculations'!$C20)/2-'Mass Ion Calculations'!$D$5,('Mass Ion Calculations'!$F$15+'AA Exact Masses'!$Q$2+'AA Exact Masses'!$Q$2-'Mass Ion Calculations'!$E$20-'Mass Ion Calculations'!$E20)/2-'Mass Ion Calculations'!$D$5)))</f>
        <v>-424.11356499999988</v>
      </c>
      <c r="S19" s="3" t="str">
        <f>IF(OR($B19="",S$3=""),"",IF('Mass Ion Calculations'!$D$6="Yes",IF('Mass Ion Calculations'!$D$7="Yes",('Mass Ion Calculations'!$D$18+'AA Exact Masses'!$Q$2+'AA Exact Masses'!$Q$2-'Mass Ion Calculations'!$C$21-'Mass Ion Calculations'!$C20)/2-'Mass Ion Calculations'!$D$5,('Mass Ion Calculations'!$F$18+'AA Exact Masses'!$Q$2+'AA Exact Masses'!$Q$2-'Mass Ion Calculations'!$E$21-'Mass Ion Calculations'!$E20)/2-'Mass Ion Calculations'!$D$5),IF('Mass Ion Calculations'!$D$7="Yes", ('Mass Ion Calculations'!$D$15+'AA Exact Masses'!$Q$2+'AA Exact Masses'!$Q$2-'Mass Ion Calculations'!$C$21-'Mass Ion Calculations'!$C20)/2-'Mass Ion Calculations'!$D$5,('Mass Ion Calculations'!$F$15+'AA Exact Masses'!$Q$2+'AA Exact Masses'!$Q$2-'Mass Ion Calculations'!$E$21-'Mass Ion Calculations'!$E20)/2-'Mass Ion Calculations'!$D$5)))</f>
        <v/>
      </c>
      <c r="T19" s="3" t="e">
        <f>IF(OR($B19="",T$3=""),"",IF('Mass Ion Calculations'!$D$6="Yes",IF('Mass Ion Calculations'!$D$7="Yes",('Mass Ion Calculations'!$D$18+'AA Exact Masses'!$Q$2+'AA Exact Masses'!$Q$2-'Mass Ion Calculations'!$C$22-'Mass Ion Calculations'!$C20)/2-'Mass Ion Calculations'!$D$5,('Mass Ion Calculations'!$F$18+'AA Exact Masses'!$Q$2+'AA Exact Masses'!$Q$2-'Mass Ion Calculations'!$E$22-'Mass Ion Calculations'!$E20)/2-'Mass Ion Calculations'!$D$5),IF('Mass Ion Calculations'!$D$7="Yes", ('Mass Ion Calculations'!$D$15+'AA Exact Masses'!$Q$2+'AA Exact Masses'!$Q$2-'Mass Ion Calculations'!$C$22-'Mass Ion Calculations'!$C20)/2-'Mass Ion Calculations'!$D$5,('Mass Ion Calculations'!$F$15+'AA Exact Masses'!$Q$2+'AA Exact Masses'!$Q$2-'Mass Ion Calculations'!$E$22-'Mass Ion Calculations'!$E20)/2-'Mass Ion Calculations'!$D$5)))</f>
        <v>#VALUE!</v>
      </c>
      <c r="U19" s="3" t="e">
        <f>IF(OR($B19="",U$3=""),"",IF('Mass Ion Calculations'!$D$6="Yes",IF('Mass Ion Calculations'!$D$7="Yes",('Mass Ion Calculations'!$D$18+'AA Exact Masses'!$Q$2+'AA Exact Masses'!$Q$2-'Mass Ion Calculations'!$C$23-'Mass Ion Calculations'!$C20)/2-'Mass Ion Calculations'!$D$5,('Mass Ion Calculations'!$F$18+'AA Exact Masses'!$Q$2+'AA Exact Masses'!$Q$2-'Mass Ion Calculations'!$E$23-'Mass Ion Calculations'!$E20)/2-'Mass Ion Calculations'!$D$5),IF('Mass Ion Calculations'!$D$7="Yes", ('Mass Ion Calculations'!$D$15+'AA Exact Masses'!$Q$2+'AA Exact Masses'!$Q$2-'Mass Ion Calculations'!$C$23-'Mass Ion Calculations'!$C20)/2-'Mass Ion Calculations'!$D$5,('Mass Ion Calculations'!$F$15+'AA Exact Masses'!$Q$2+'AA Exact Masses'!$Q$2-'Mass Ion Calculations'!$E$23-'Mass Ion Calculations'!$E20)/2-'Mass Ion Calculations'!$D$5)))</f>
        <v>#VALUE!</v>
      </c>
      <c r="V19" s="3" t="str">
        <f>IF(OR($B19="",V$3=""),"",IF('Mass Ion Calculations'!$D$6="Yes",IF('Mass Ion Calculations'!$D$7="Yes",('Mass Ion Calculations'!$D$18+'AA Exact Masses'!$Q$2+'AA Exact Masses'!$Q$2-'Mass Ion Calculations'!$C$24-'Mass Ion Calculations'!$C20)/2-'Mass Ion Calculations'!$D$5,('Mass Ion Calculations'!$F$18+'AA Exact Masses'!$Q$2+'AA Exact Masses'!$Q$2-'Mass Ion Calculations'!$E$24-'Mass Ion Calculations'!$E20)/2-'Mass Ion Calculations'!$D$5),IF('Mass Ion Calculations'!$D$7="Yes", ('Mass Ion Calculations'!$D$15+'AA Exact Masses'!$Q$2+'AA Exact Masses'!$Q$2-'Mass Ion Calculations'!$C$24-'Mass Ion Calculations'!$C20)/2-'Mass Ion Calculations'!$D$5,('Mass Ion Calculations'!$F$15+'AA Exact Masses'!$Q$2+'AA Exact Masses'!$Q$2-'Mass Ion Calculations'!$E$24-'Mass Ion Calculations'!$E20)/2-'Mass Ion Calculations'!$D$5)))</f>
        <v/>
      </c>
      <c r="W19" s="3" t="str">
        <f>IF(OR($B19="",W$3=""),"",IF('Mass Ion Calculations'!$D$6="Yes",IF('Mass Ion Calculations'!$D$7="Yes",('Mass Ion Calculations'!$D$18+'AA Exact Masses'!$Q$2+'AA Exact Masses'!$Q$2-'Mass Ion Calculations'!$C$25-'Mass Ion Calculations'!$C20)/2-'Mass Ion Calculations'!$D$5,('Mass Ion Calculations'!$F$18+'AA Exact Masses'!$Q$2+'AA Exact Masses'!$Q$2-'Mass Ion Calculations'!$E$25-'Mass Ion Calculations'!$E20)/2-'Mass Ion Calculations'!$D$5),IF('Mass Ion Calculations'!$D$7="Yes", ('Mass Ion Calculations'!$D$15+'AA Exact Masses'!$Q$2+'AA Exact Masses'!$Q$2-'Mass Ion Calculations'!$C$25-'Mass Ion Calculations'!$C20)/2-'Mass Ion Calculations'!$D$5,('Mass Ion Calculations'!$F$15+'AA Exact Masses'!$Q$2+'AA Exact Masses'!$Q$2-'Mass Ion Calculations'!$E$25-'Mass Ion Calculations'!$E20)/2-'Mass Ion Calculations'!$D$5)))</f>
        <v/>
      </c>
      <c r="X19" s="3" t="str">
        <f>IF(OR($B19="",X$3=""),"",IF('Mass Ion Calculations'!$D$6="Yes",IF('Mass Ion Calculations'!$D$7="Yes",('Mass Ion Calculations'!$D$18+'AA Exact Masses'!$Q$2+'AA Exact Masses'!$Q$2-'Mass Ion Calculations'!$C$26-'Mass Ion Calculations'!$C20)/2-'Mass Ion Calculations'!$D$5,('Mass Ion Calculations'!$F$18+'AA Exact Masses'!$Q$2+'AA Exact Masses'!$Q$2-'Mass Ion Calculations'!$E$26-'Mass Ion Calculations'!$E20)/2-'Mass Ion Calculations'!$D$5),IF('Mass Ion Calculations'!$D$7="Yes", ('Mass Ion Calculations'!$D$15+'AA Exact Masses'!$Q$2+'AA Exact Masses'!$Q$2-'Mass Ion Calculations'!$C$26-'Mass Ion Calculations'!$C20)/2-'Mass Ion Calculations'!$D$5,('Mass Ion Calculations'!$F$15+'AA Exact Masses'!$Q$2+'AA Exact Masses'!$Q$2-'Mass Ion Calculations'!$E$26-'Mass Ion Calculations'!$E20)/2-'Mass Ion Calculations'!$D$5)))</f>
        <v/>
      </c>
      <c r="Y19" s="3" t="str">
        <f>IF(OR($B19="",Y$3=""),"",IF('Mass Ion Calculations'!$D$6="Yes",IF('Mass Ion Calculations'!$D$7="Yes",('Mass Ion Calculations'!$D$18+'AA Exact Masses'!$Q$2+'AA Exact Masses'!$Q$2-'Mass Ion Calculations'!$C$27-'Mass Ion Calculations'!$C20)/2-'Mass Ion Calculations'!$D$5,('Mass Ion Calculations'!$F$18+'AA Exact Masses'!$Q$2+'AA Exact Masses'!$Q$2-'Mass Ion Calculations'!$E$27-'Mass Ion Calculations'!$E20)/2-'Mass Ion Calculations'!$D$5),IF('Mass Ion Calculations'!$D$7="Yes", ('Mass Ion Calculations'!$D$15+'AA Exact Masses'!$Q$2+'AA Exact Masses'!$Q$2-'Mass Ion Calculations'!$C$27-'Mass Ion Calculations'!$C20)/2-'Mass Ion Calculations'!$D$5,('Mass Ion Calculations'!$F$15+'AA Exact Masses'!$Q$2+'AA Exact Masses'!$Q$2-'Mass Ion Calculations'!$E$27-'Mass Ion Calculations'!$E20)/2-'Mass Ion Calculations'!$D$5)))</f>
        <v/>
      </c>
      <c r="Z19" s="3" t="str">
        <f>IF(OR($B19="",Z$3=""),"",IF('Mass Ion Calculations'!$D$6="Yes",IF('Mass Ion Calculations'!$D$7="Yes",('Mass Ion Calculations'!$D$18+'AA Exact Masses'!$Q$2+'AA Exact Masses'!$Q$2-'Mass Ion Calculations'!$C$28-'Mass Ion Calculations'!$C20)/2-'Mass Ion Calculations'!$D$5,('Mass Ion Calculations'!$F$18+'AA Exact Masses'!$Q$2+'AA Exact Masses'!$Q$2-'Mass Ion Calculations'!$E$28-'Mass Ion Calculations'!$E20)/2-'Mass Ion Calculations'!$D$5),IF('Mass Ion Calculations'!$D$7="Yes", ('Mass Ion Calculations'!$D$15+'AA Exact Masses'!$Q$2+'AA Exact Masses'!$Q$2-'Mass Ion Calculations'!$C$28-'Mass Ion Calculations'!$C20)/2-'Mass Ion Calculations'!$D$5,('Mass Ion Calculations'!$F$15+'AA Exact Masses'!$Q$2+'AA Exact Masses'!$Q$2-'Mass Ion Calculations'!$E$28-'Mass Ion Calculations'!$E20)/2-'Mass Ion Calculations'!$D$5)))</f>
        <v/>
      </c>
    </row>
    <row r="20" spans="2:26" x14ac:dyDescent="0.25">
      <c r="B20" s="4" t="str">
        <f>IF('Mass Ion Calculations'!B21="","", 'Mass Ion Calculations'!B21)</f>
        <v/>
      </c>
      <c r="C20" s="3" t="str">
        <f>IF(OR($B20="",C$3=""),"",IF('Mass Ion Calculations'!$D$6="Yes",IF('Mass Ion Calculations'!$D$7="Yes",('Mass Ion Calculations'!$D$18+'AA Exact Masses'!$Q$2+'AA Exact Masses'!$Q$2-'Mass Ion Calculations'!$C$5-'Mass Ion Calculations'!$C21)/2-'Mass Ion Calculations'!$D$5,('Mass Ion Calculations'!$F$18+'AA Exact Masses'!$Q$2+'AA Exact Masses'!$Q$2-'Mass Ion Calculations'!$E$5-'Mass Ion Calculations'!$E21)/2-'Mass Ion Calculations'!$D$5),IF('Mass Ion Calculations'!$D$7="Yes", ('Mass Ion Calculations'!$D$15+'AA Exact Masses'!$Q$2+'AA Exact Masses'!$Q$2-'Mass Ion Calculations'!$C$5-'Mass Ion Calculations'!$C21)/2-'Mass Ion Calculations'!$D$5,('Mass Ion Calculations'!$F$15+'AA Exact Masses'!$Q$2+'AA Exact Masses'!$Q$2-'Mass Ion Calculations'!$E$5-'Mass Ion Calculations'!$E21)/2-'Mass Ion Calculations'!$D$5)))</f>
        <v/>
      </c>
      <c r="D20" s="3" t="str">
        <f>IF(OR($B20="",D$3=""),"",IF('Mass Ion Calculations'!$D$6="Yes",IF('Mass Ion Calculations'!$D$7="Yes",('Mass Ion Calculations'!$D$18+'AA Exact Masses'!$Q$2+'AA Exact Masses'!$Q$2-'Mass Ion Calculations'!$C$6-'Mass Ion Calculations'!$C21)/2-'Mass Ion Calculations'!$D$5,('Mass Ion Calculations'!$F$18+'AA Exact Masses'!$Q$2+'AA Exact Masses'!$Q$2-'Mass Ion Calculations'!$E$6-'Mass Ion Calculations'!$E21)/2-'Mass Ion Calculations'!$D$5),IF('Mass Ion Calculations'!$D$7="Yes", ('Mass Ion Calculations'!$D$15+'AA Exact Masses'!$Q$2+'AA Exact Masses'!$Q$2-'Mass Ion Calculations'!$C$6-'Mass Ion Calculations'!$C21)/2-'Mass Ion Calculations'!$D$5,('Mass Ion Calculations'!$F$15+'AA Exact Masses'!$Q$2+'AA Exact Masses'!$Q$2-'Mass Ion Calculations'!$E$6-'Mass Ion Calculations'!$E21)/2-'Mass Ion Calculations'!$D$5)))</f>
        <v/>
      </c>
      <c r="E20" s="3" t="str">
        <f>IF(OR($B20="",E$3=""),"",IF('Mass Ion Calculations'!$D$6="Yes",IF('Mass Ion Calculations'!$D$7="Yes",('Mass Ion Calculations'!$D$18+'AA Exact Masses'!$Q$2+'AA Exact Masses'!$Q$2-'Mass Ion Calculations'!$C$7-'Mass Ion Calculations'!$C21)/2-'Mass Ion Calculations'!$D$5,('Mass Ion Calculations'!$F$18+'AA Exact Masses'!$Q$2+'AA Exact Masses'!$Q$2-'Mass Ion Calculations'!$E$7-'Mass Ion Calculations'!$E21)/2-'Mass Ion Calculations'!$D$5),IF('Mass Ion Calculations'!$D$7="Yes", ('Mass Ion Calculations'!$D$15+'AA Exact Masses'!$Q$2+'AA Exact Masses'!$Q$2-'Mass Ion Calculations'!$C$7-'Mass Ion Calculations'!$C21)/2-'Mass Ion Calculations'!$D$5,('Mass Ion Calculations'!$F$15+'AA Exact Masses'!$Q$2+'AA Exact Masses'!$Q$2-'Mass Ion Calculations'!$E$7-'Mass Ion Calculations'!$E21)/2-'Mass Ion Calculations'!$D$5)))</f>
        <v/>
      </c>
      <c r="F20" s="3" t="str">
        <f>IF(OR($B20="",F$3=""),"",IF('Mass Ion Calculations'!$D$6="Yes",IF('Mass Ion Calculations'!$D$7="Yes",('Mass Ion Calculations'!$D$18+'AA Exact Masses'!$Q$2+'AA Exact Masses'!$Q$2-'Mass Ion Calculations'!$C$8-'Mass Ion Calculations'!$C21)/2-'Mass Ion Calculations'!$D$5,('Mass Ion Calculations'!$F$18+'AA Exact Masses'!$Q$2+'AA Exact Masses'!$Q$2-'Mass Ion Calculations'!$E$8-'Mass Ion Calculations'!$E21)/2-'Mass Ion Calculations'!$D$5),IF('Mass Ion Calculations'!$D$7="Yes", ('Mass Ion Calculations'!$D$15+'AA Exact Masses'!$Q$2+'AA Exact Masses'!$Q$2-'Mass Ion Calculations'!$C$8-'Mass Ion Calculations'!$C21)/2-'Mass Ion Calculations'!$D$5,('Mass Ion Calculations'!$F$15+'AA Exact Masses'!$Q$2+'AA Exact Masses'!$Q$2-'Mass Ion Calculations'!$E$8-'Mass Ion Calculations'!$E21)/2-'Mass Ion Calculations'!$D$5)))</f>
        <v/>
      </c>
      <c r="G20" s="3" t="str">
        <f>IF(OR($B20="",G$3=""),"",IF('Mass Ion Calculations'!$D$6="Yes",IF('Mass Ion Calculations'!$D$7="Yes",('Mass Ion Calculations'!$D$18+'AA Exact Masses'!$Q$2+'AA Exact Masses'!$Q$2-'Mass Ion Calculations'!$C$9-'Mass Ion Calculations'!$C21)/2-'Mass Ion Calculations'!$D$5,('Mass Ion Calculations'!$F$18+'AA Exact Masses'!$Q$2+'AA Exact Masses'!$Q$2-'Mass Ion Calculations'!$E$9-'Mass Ion Calculations'!$E21)/2-'Mass Ion Calculations'!$D$5),IF('Mass Ion Calculations'!$D$7="Yes", ('Mass Ion Calculations'!$D$15+'AA Exact Masses'!$Q$2+'AA Exact Masses'!$Q$2-'Mass Ion Calculations'!$C$9-'Mass Ion Calculations'!$C21)/2-'Mass Ion Calculations'!$D$5,('Mass Ion Calculations'!$F$15+'AA Exact Masses'!$Q$2+'AA Exact Masses'!$Q$2-'Mass Ion Calculations'!$E$9-'Mass Ion Calculations'!$E21)/2-'Mass Ion Calculations'!$D$5)))</f>
        <v/>
      </c>
      <c r="H20" s="3" t="str">
        <f>IF(OR($B20="",H$3=""),"",IF('Mass Ion Calculations'!$D$6="Yes",IF('Mass Ion Calculations'!$D$7="Yes",('Mass Ion Calculations'!$D$18+'AA Exact Masses'!$Q$2+'AA Exact Masses'!$Q$2-'Mass Ion Calculations'!$C$10-'Mass Ion Calculations'!$C21)/2-'Mass Ion Calculations'!$D$5,('Mass Ion Calculations'!$F$18+'AA Exact Masses'!$Q$2+'AA Exact Masses'!$Q$2-'Mass Ion Calculations'!$E$10-'Mass Ion Calculations'!$E21)/2-'Mass Ion Calculations'!$D$5),IF('Mass Ion Calculations'!$D$7="Yes", ('Mass Ion Calculations'!$D$15+'AA Exact Masses'!$Q$2+'AA Exact Masses'!$Q$2-'Mass Ion Calculations'!$C$10-'Mass Ion Calculations'!$C21)/2-'Mass Ion Calculations'!$D$5,('Mass Ion Calculations'!$F$15+'AA Exact Masses'!$Q$2+'AA Exact Masses'!$Q$2-'Mass Ion Calculations'!$E$10-'Mass Ion Calculations'!$E21)/2-'Mass Ion Calculations'!$D$5)))</f>
        <v/>
      </c>
      <c r="I20" s="3" t="str">
        <f>IF(OR($B20="",I$3=""),"",IF('Mass Ion Calculations'!$D$6="Yes",IF('Mass Ion Calculations'!$D$7="Yes",('Mass Ion Calculations'!$D$18+'AA Exact Masses'!$Q$2+'AA Exact Masses'!$Q$2-'Mass Ion Calculations'!$C$11-'Mass Ion Calculations'!$C21)/2-'Mass Ion Calculations'!$D$5,('Mass Ion Calculations'!$F$18+'AA Exact Masses'!$Q$2+'AA Exact Masses'!$Q$2-'Mass Ion Calculations'!$E$11-'Mass Ion Calculations'!$E21)/2-'Mass Ion Calculations'!$D$5),IF('Mass Ion Calculations'!$D$7="Yes", ('Mass Ion Calculations'!$D$15+'AA Exact Masses'!$Q$2+'AA Exact Masses'!$Q$2-'Mass Ion Calculations'!$C$11-'Mass Ion Calculations'!$C21)/2-'Mass Ion Calculations'!$D$5,('Mass Ion Calculations'!$F$15+'AA Exact Masses'!$Q$2+'AA Exact Masses'!$Q$2-'Mass Ion Calculations'!$E$11-'Mass Ion Calculations'!$E21)/2-'Mass Ion Calculations'!$D$5)))</f>
        <v/>
      </c>
      <c r="J20" s="3" t="str">
        <f>IF(OR($B20="",J$3=""),"",IF('Mass Ion Calculations'!$D$6="Yes",IF('Mass Ion Calculations'!$D$7="Yes",('Mass Ion Calculations'!$D$18+'AA Exact Masses'!$Q$2+'AA Exact Masses'!$Q$2-'Mass Ion Calculations'!$C$12-'Mass Ion Calculations'!$C21)/2-'Mass Ion Calculations'!$D$5,('Mass Ion Calculations'!$F$18+'AA Exact Masses'!$Q$2+'AA Exact Masses'!$Q$2-'Mass Ion Calculations'!$E$12-'Mass Ion Calculations'!$E21)/2-'Mass Ion Calculations'!$D$5),IF('Mass Ion Calculations'!$D$7="Yes", ('Mass Ion Calculations'!$D$15+'AA Exact Masses'!$Q$2+'AA Exact Masses'!$Q$2-'Mass Ion Calculations'!$C$12-'Mass Ion Calculations'!$C21)/2-'Mass Ion Calculations'!$D$5,('Mass Ion Calculations'!$F$15+'AA Exact Masses'!$Q$2+'AA Exact Masses'!$Q$2-'Mass Ion Calculations'!$E$12-'Mass Ion Calculations'!$E21)/2-'Mass Ion Calculations'!$D$5)))</f>
        <v/>
      </c>
      <c r="K20" s="3" t="str">
        <f>IF(OR($B20="",K$3=""),"",IF('Mass Ion Calculations'!$D$6="Yes",IF('Mass Ion Calculations'!$D$7="Yes",('Mass Ion Calculations'!$D$18+'AA Exact Masses'!$Q$2+'AA Exact Masses'!$Q$2-'Mass Ion Calculations'!$C$13-'Mass Ion Calculations'!$C21)/2-'Mass Ion Calculations'!$D$5,('Mass Ion Calculations'!$F$18+'AA Exact Masses'!$Q$2+'AA Exact Masses'!$Q$2-'Mass Ion Calculations'!$E$13-'Mass Ion Calculations'!$E21)/2-'Mass Ion Calculations'!$D$5),IF('Mass Ion Calculations'!$D$7="Yes", ('Mass Ion Calculations'!$D$15+'AA Exact Masses'!$Q$2+'AA Exact Masses'!$Q$2-'Mass Ion Calculations'!$C$13-'Mass Ion Calculations'!$C21)/2-'Mass Ion Calculations'!$D$5,('Mass Ion Calculations'!$F$15+'AA Exact Masses'!$Q$2+'AA Exact Masses'!$Q$2-'Mass Ion Calculations'!$E$13-'Mass Ion Calculations'!$E21)/2-'Mass Ion Calculations'!$D$5)))</f>
        <v/>
      </c>
      <c r="L20" s="3" t="str">
        <f>IF(OR($B20="",L$3=""),"",IF('Mass Ion Calculations'!$D$6="Yes",IF('Mass Ion Calculations'!$D$7="Yes",('Mass Ion Calculations'!$D$18+'AA Exact Masses'!$Q$2+'AA Exact Masses'!$Q$2-'Mass Ion Calculations'!$C$14-'Mass Ion Calculations'!$C21)/2-'Mass Ion Calculations'!$D$5,('Mass Ion Calculations'!$F$18+'AA Exact Masses'!$Q$2+'AA Exact Masses'!$Q$2-'Mass Ion Calculations'!$E$14-'Mass Ion Calculations'!$E21)/2-'Mass Ion Calculations'!$D$5),IF('Mass Ion Calculations'!$D$7="Yes", ('Mass Ion Calculations'!$D$15+'AA Exact Masses'!$Q$2+'AA Exact Masses'!$Q$2-'Mass Ion Calculations'!$C$14-'Mass Ion Calculations'!$C21)/2-'Mass Ion Calculations'!$D$5,('Mass Ion Calculations'!$F$15+'AA Exact Masses'!$Q$2+'AA Exact Masses'!$Q$2-'Mass Ion Calculations'!$E$14-'Mass Ion Calculations'!$E21)/2-'Mass Ion Calculations'!$D$5)))</f>
        <v/>
      </c>
      <c r="M20" s="3" t="str">
        <f>IF(OR($B20="",M$3=""),"",IF('Mass Ion Calculations'!$D$6="Yes",IF('Mass Ion Calculations'!$D$7="Yes",('Mass Ion Calculations'!$D$18+'AA Exact Masses'!$Q$2+'AA Exact Masses'!$Q$2-'Mass Ion Calculations'!$C$15-'Mass Ion Calculations'!$C21)/2-'Mass Ion Calculations'!$D$5,('Mass Ion Calculations'!$F$18+'AA Exact Masses'!$Q$2+'AA Exact Masses'!$Q$2-'Mass Ion Calculations'!$E$15-'Mass Ion Calculations'!$E21)/2-'Mass Ion Calculations'!$D$5),IF('Mass Ion Calculations'!$D$7="Yes", ('Mass Ion Calculations'!$D$15+'AA Exact Masses'!$Q$2+'AA Exact Masses'!$Q$2-'Mass Ion Calculations'!$C$15-'Mass Ion Calculations'!$C21)/2-'Mass Ion Calculations'!$D$5,('Mass Ion Calculations'!$F$15+'AA Exact Masses'!$Q$2+'AA Exact Masses'!$Q$2-'Mass Ion Calculations'!$E$15-'Mass Ion Calculations'!$E21)/2-'Mass Ion Calculations'!$D$5)))</f>
        <v/>
      </c>
      <c r="N20" s="3" t="str">
        <f>IF(OR($B20="",N$3=""),"",IF('Mass Ion Calculations'!$D$6="Yes",IF('Mass Ion Calculations'!$D$7="Yes",('Mass Ion Calculations'!$D$18+'AA Exact Masses'!$Q$2+'AA Exact Masses'!$Q$2-'Mass Ion Calculations'!$C$16-'Mass Ion Calculations'!$C21)/2-'Mass Ion Calculations'!$D$5,('Mass Ion Calculations'!$F$18+'AA Exact Masses'!$Q$2+'AA Exact Masses'!$Q$2-'Mass Ion Calculations'!$E$16-'Mass Ion Calculations'!$E21)/2-'Mass Ion Calculations'!$D$5),IF('Mass Ion Calculations'!$D$7="Yes", ('Mass Ion Calculations'!$D$15+'AA Exact Masses'!$Q$2+'AA Exact Masses'!$Q$2-'Mass Ion Calculations'!$C$16-'Mass Ion Calculations'!$C21)/2-'Mass Ion Calculations'!$D$5,('Mass Ion Calculations'!$F$15+'AA Exact Masses'!$Q$2+'AA Exact Masses'!$Q$2-'Mass Ion Calculations'!$E$16-'Mass Ion Calculations'!$E21)/2-'Mass Ion Calculations'!$D$5)))</f>
        <v/>
      </c>
      <c r="O20" s="3" t="str">
        <f>IF(OR($B20="",O$3=""),"",IF('Mass Ion Calculations'!$D$6="Yes",IF('Mass Ion Calculations'!$D$7="Yes",('Mass Ion Calculations'!$D$18+'AA Exact Masses'!$Q$2+'AA Exact Masses'!$Q$2-'Mass Ion Calculations'!$C$17-'Mass Ion Calculations'!$C21)/2-'Mass Ion Calculations'!$D$5,('Mass Ion Calculations'!$F$18+'AA Exact Masses'!$Q$2+'AA Exact Masses'!$Q$2-'Mass Ion Calculations'!$E$17-'Mass Ion Calculations'!$E21)/2-'Mass Ion Calculations'!$D$5),IF('Mass Ion Calculations'!$D$7="Yes", ('Mass Ion Calculations'!$D$15+'AA Exact Masses'!$Q$2+'AA Exact Masses'!$Q$2-'Mass Ion Calculations'!$C$17-'Mass Ion Calculations'!$C21)/2-'Mass Ion Calculations'!$D$5,('Mass Ion Calculations'!$F$15+'AA Exact Masses'!$Q$2+'AA Exact Masses'!$Q$2-'Mass Ion Calculations'!$E$17-'Mass Ion Calculations'!$E21)/2-'Mass Ion Calculations'!$D$5)))</f>
        <v/>
      </c>
      <c r="P20" s="3" t="str">
        <f>IF(OR($B20="",P$3=""),"",IF('Mass Ion Calculations'!$D$6="Yes",IF('Mass Ion Calculations'!$D$7="Yes",('Mass Ion Calculations'!$D$18+'AA Exact Masses'!$Q$2+'AA Exact Masses'!$Q$2-'Mass Ion Calculations'!$C$18-'Mass Ion Calculations'!$C21)/2-'Mass Ion Calculations'!$D$5,('Mass Ion Calculations'!$F$18+'AA Exact Masses'!$Q$2+'AA Exact Masses'!$Q$2-'Mass Ion Calculations'!$E$18-'Mass Ion Calculations'!$E21)/2-'Mass Ion Calculations'!$D$5),IF('Mass Ion Calculations'!$D$7="Yes", ('Mass Ion Calculations'!$D$15+'AA Exact Masses'!$Q$2+'AA Exact Masses'!$Q$2-'Mass Ion Calculations'!$C$18-'Mass Ion Calculations'!$C21)/2-'Mass Ion Calculations'!$D$5,('Mass Ion Calculations'!$F$15+'AA Exact Masses'!$Q$2+'AA Exact Masses'!$Q$2-'Mass Ion Calculations'!$E$18-'Mass Ion Calculations'!$E21)/2-'Mass Ion Calculations'!$D$5)))</f>
        <v/>
      </c>
      <c r="Q20" s="3" t="str">
        <f>IF(OR($B20="",Q$3=""),"",IF('Mass Ion Calculations'!$D$6="Yes",IF('Mass Ion Calculations'!$D$7="Yes",('Mass Ion Calculations'!$D$18+'AA Exact Masses'!$Q$2+'AA Exact Masses'!$Q$2-'Mass Ion Calculations'!$C$19-'Mass Ion Calculations'!$C21)/2-'Mass Ion Calculations'!$D$5,('Mass Ion Calculations'!$F$18+'AA Exact Masses'!$Q$2+'AA Exact Masses'!$Q$2-'Mass Ion Calculations'!$E$19-'Mass Ion Calculations'!$E21)/2-'Mass Ion Calculations'!$D$5),IF('Mass Ion Calculations'!$D$7="Yes", ('Mass Ion Calculations'!$D$15+'AA Exact Masses'!$Q$2+'AA Exact Masses'!$Q$2-'Mass Ion Calculations'!$C$19-'Mass Ion Calculations'!$C21)/2-'Mass Ion Calculations'!$D$5,('Mass Ion Calculations'!$F$15+'AA Exact Masses'!$Q$2+'AA Exact Masses'!$Q$2-'Mass Ion Calculations'!$E$19-'Mass Ion Calculations'!$E21)/2-'Mass Ion Calculations'!$D$5)))</f>
        <v/>
      </c>
      <c r="R20" s="3" t="str">
        <f>IF(OR($B20="",R$3=""),"",IF('Mass Ion Calculations'!$D$6="Yes",IF('Mass Ion Calculations'!$D$7="Yes",('Mass Ion Calculations'!$D$18+'AA Exact Masses'!$Q$2+'AA Exact Masses'!$Q$2-'Mass Ion Calculations'!$C$20-'Mass Ion Calculations'!$C21)/2-'Mass Ion Calculations'!$D$5,('Mass Ion Calculations'!$F$18+'AA Exact Masses'!$Q$2+'AA Exact Masses'!$Q$2-'Mass Ion Calculations'!$E$20-'Mass Ion Calculations'!$E21)/2-'Mass Ion Calculations'!$D$5),IF('Mass Ion Calculations'!$D$7="Yes", ('Mass Ion Calculations'!$D$15+'AA Exact Masses'!$Q$2+'AA Exact Masses'!$Q$2-'Mass Ion Calculations'!$C$20-'Mass Ion Calculations'!$C21)/2-'Mass Ion Calculations'!$D$5,('Mass Ion Calculations'!$F$15+'AA Exact Masses'!$Q$2+'AA Exact Masses'!$Q$2-'Mass Ion Calculations'!$E$20-'Mass Ion Calculations'!$E21)/2-'Mass Ion Calculations'!$D$5)))</f>
        <v/>
      </c>
      <c r="S20" s="3" t="str">
        <f>IF(OR($B20="",S$3=""),"",IF('Mass Ion Calculations'!$D$6="Yes",IF('Mass Ion Calculations'!$D$7="Yes",('Mass Ion Calculations'!$D$18+'AA Exact Masses'!$Q$2+'AA Exact Masses'!$Q$2-'Mass Ion Calculations'!$C$21-'Mass Ion Calculations'!$C21)/2-'Mass Ion Calculations'!$D$5,('Mass Ion Calculations'!$F$18+'AA Exact Masses'!$Q$2+'AA Exact Masses'!$Q$2-'Mass Ion Calculations'!$E$21-'Mass Ion Calculations'!$E21)/2-'Mass Ion Calculations'!$D$5),IF('Mass Ion Calculations'!$D$7="Yes", ('Mass Ion Calculations'!$D$15+'AA Exact Masses'!$Q$2+'AA Exact Masses'!$Q$2-'Mass Ion Calculations'!$C$21-'Mass Ion Calculations'!$C21)/2-'Mass Ion Calculations'!$D$5,('Mass Ion Calculations'!$F$15+'AA Exact Masses'!$Q$2+'AA Exact Masses'!$Q$2-'Mass Ion Calculations'!$E$21-'Mass Ion Calculations'!$E21)/2-'Mass Ion Calculations'!$D$5)))</f>
        <v/>
      </c>
      <c r="T20" s="3" t="str">
        <f>IF(OR($B20="",T$3=""),"",IF('Mass Ion Calculations'!$D$6="Yes",IF('Mass Ion Calculations'!$D$7="Yes",('Mass Ion Calculations'!$D$18+'AA Exact Masses'!$Q$2+'AA Exact Masses'!$Q$2-'Mass Ion Calculations'!$C$22-'Mass Ion Calculations'!$C21)/2-'Mass Ion Calculations'!$D$5,('Mass Ion Calculations'!$F$18+'AA Exact Masses'!$Q$2+'AA Exact Masses'!$Q$2-'Mass Ion Calculations'!$E$22-'Mass Ion Calculations'!$E21)/2-'Mass Ion Calculations'!$D$5),IF('Mass Ion Calculations'!$D$7="Yes", ('Mass Ion Calculations'!$D$15+'AA Exact Masses'!$Q$2+'AA Exact Masses'!$Q$2-'Mass Ion Calculations'!$C$22-'Mass Ion Calculations'!$C21)/2-'Mass Ion Calculations'!$D$5,('Mass Ion Calculations'!$F$15+'AA Exact Masses'!$Q$2+'AA Exact Masses'!$Q$2-'Mass Ion Calculations'!$E$22-'Mass Ion Calculations'!$E21)/2-'Mass Ion Calculations'!$D$5)))</f>
        <v/>
      </c>
      <c r="U20" s="3" t="str">
        <f>IF(OR($B20="",U$3=""),"",IF('Mass Ion Calculations'!$D$6="Yes",IF('Mass Ion Calculations'!$D$7="Yes",('Mass Ion Calculations'!$D$18+'AA Exact Masses'!$Q$2+'AA Exact Masses'!$Q$2-'Mass Ion Calculations'!$C$23-'Mass Ion Calculations'!$C21)/2-'Mass Ion Calculations'!$D$5,('Mass Ion Calculations'!$F$18+'AA Exact Masses'!$Q$2+'AA Exact Masses'!$Q$2-'Mass Ion Calculations'!$E$23-'Mass Ion Calculations'!$E21)/2-'Mass Ion Calculations'!$D$5),IF('Mass Ion Calculations'!$D$7="Yes", ('Mass Ion Calculations'!$D$15+'AA Exact Masses'!$Q$2+'AA Exact Masses'!$Q$2-'Mass Ion Calculations'!$C$23-'Mass Ion Calculations'!$C21)/2-'Mass Ion Calculations'!$D$5,('Mass Ion Calculations'!$F$15+'AA Exact Masses'!$Q$2+'AA Exact Masses'!$Q$2-'Mass Ion Calculations'!$E$23-'Mass Ion Calculations'!$E21)/2-'Mass Ion Calculations'!$D$5)))</f>
        <v/>
      </c>
      <c r="V20" s="3" t="str">
        <f>IF(OR($B20="",V$3=""),"",IF('Mass Ion Calculations'!$D$6="Yes",IF('Mass Ion Calculations'!$D$7="Yes",('Mass Ion Calculations'!$D$18+'AA Exact Masses'!$Q$2+'AA Exact Masses'!$Q$2-'Mass Ion Calculations'!$C$24-'Mass Ion Calculations'!$C21)/2-'Mass Ion Calculations'!$D$5,('Mass Ion Calculations'!$F$18+'AA Exact Masses'!$Q$2+'AA Exact Masses'!$Q$2-'Mass Ion Calculations'!$E$24-'Mass Ion Calculations'!$E21)/2-'Mass Ion Calculations'!$D$5),IF('Mass Ion Calculations'!$D$7="Yes", ('Mass Ion Calculations'!$D$15+'AA Exact Masses'!$Q$2+'AA Exact Masses'!$Q$2-'Mass Ion Calculations'!$C$24-'Mass Ion Calculations'!$C21)/2-'Mass Ion Calculations'!$D$5,('Mass Ion Calculations'!$F$15+'AA Exact Masses'!$Q$2+'AA Exact Masses'!$Q$2-'Mass Ion Calculations'!$E$24-'Mass Ion Calculations'!$E21)/2-'Mass Ion Calculations'!$D$5)))</f>
        <v/>
      </c>
      <c r="W20" s="3" t="str">
        <f>IF(OR($B20="",W$3=""),"",IF('Mass Ion Calculations'!$D$6="Yes",IF('Mass Ion Calculations'!$D$7="Yes",('Mass Ion Calculations'!$D$18+'AA Exact Masses'!$Q$2+'AA Exact Masses'!$Q$2-'Mass Ion Calculations'!$C$25-'Mass Ion Calculations'!$C21)/2-'Mass Ion Calculations'!$D$5,('Mass Ion Calculations'!$F$18+'AA Exact Masses'!$Q$2+'AA Exact Masses'!$Q$2-'Mass Ion Calculations'!$E$25-'Mass Ion Calculations'!$E21)/2-'Mass Ion Calculations'!$D$5),IF('Mass Ion Calculations'!$D$7="Yes", ('Mass Ion Calculations'!$D$15+'AA Exact Masses'!$Q$2+'AA Exact Masses'!$Q$2-'Mass Ion Calculations'!$C$25-'Mass Ion Calculations'!$C21)/2-'Mass Ion Calculations'!$D$5,('Mass Ion Calculations'!$F$15+'AA Exact Masses'!$Q$2+'AA Exact Masses'!$Q$2-'Mass Ion Calculations'!$E$25-'Mass Ion Calculations'!$E21)/2-'Mass Ion Calculations'!$D$5)))</f>
        <v/>
      </c>
      <c r="X20" s="3" t="str">
        <f>IF(OR($B20="",X$3=""),"",IF('Mass Ion Calculations'!$D$6="Yes",IF('Mass Ion Calculations'!$D$7="Yes",('Mass Ion Calculations'!$D$18+'AA Exact Masses'!$Q$2+'AA Exact Masses'!$Q$2-'Mass Ion Calculations'!$C$26-'Mass Ion Calculations'!$C21)/2-'Mass Ion Calculations'!$D$5,('Mass Ion Calculations'!$F$18+'AA Exact Masses'!$Q$2+'AA Exact Masses'!$Q$2-'Mass Ion Calculations'!$E$26-'Mass Ion Calculations'!$E21)/2-'Mass Ion Calculations'!$D$5),IF('Mass Ion Calculations'!$D$7="Yes", ('Mass Ion Calculations'!$D$15+'AA Exact Masses'!$Q$2+'AA Exact Masses'!$Q$2-'Mass Ion Calculations'!$C$26-'Mass Ion Calculations'!$C21)/2-'Mass Ion Calculations'!$D$5,('Mass Ion Calculations'!$F$15+'AA Exact Masses'!$Q$2+'AA Exact Masses'!$Q$2-'Mass Ion Calculations'!$E$26-'Mass Ion Calculations'!$E21)/2-'Mass Ion Calculations'!$D$5)))</f>
        <v/>
      </c>
      <c r="Y20" s="3" t="str">
        <f>IF(OR($B20="",Y$3=""),"",IF('Mass Ion Calculations'!$D$6="Yes",IF('Mass Ion Calculations'!$D$7="Yes",('Mass Ion Calculations'!$D$18+'AA Exact Masses'!$Q$2+'AA Exact Masses'!$Q$2-'Mass Ion Calculations'!$C$27-'Mass Ion Calculations'!$C21)/2-'Mass Ion Calculations'!$D$5,('Mass Ion Calculations'!$F$18+'AA Exact Masses'!$Q$2+'AA Exact Masses'!$Q$2-'Mass Ion Calculations'!$E$27-'Mass Ion Calculations'!$E21)/2-'Mass Ion Calculations'!$D$5),IF('Mass Ion Calculations'!$D$7="Yes", ('Mass Ion Calculations'!$D$15+'AA Exact Masses'!$Q$2+'AA Exact Masses'!$Q$2-'Mass Ion Calculations'!$C$27-'Mass Ion Calculations'!$C21)/2-'Mass Ion Calculations'!$D$5,('Mass Ion Calculations'!$F$15+'AA Exact Masses'!$Q$2+'AA Exact Masses'!$Q$2-'Mass Ion Calculations'!$E$27-'Mass Ion Calculations'!$E21)/2-'Mass Ion Calculations'!$D$5)))</f>
        <v/>
      </c>
      <c r="Z20" s="3" t="str">
        <f>IF(OR($B20="",Z$3=""),"",IF('Mass Ion Calculations'!$D$6="Yes",IF('Mass Ion Calculations'!$D$7="Yes",('Mass Ion Calculations'!$D$18+'AA Exact Masses'!$Q$2+'AA Exact Masses'!$Q$2-'Mass Ion Calculations'!$C$28-'Mass Ion Calculations'!$C21)/2-'Mass Ion Calculations'!$D$5,('Mass Ion Calculations'!$F$18+'AA Exact Masses'!$Q$2+'AA Exact Masses'!$Q$2-'Mass Ion Calculations'!$E$28-'Mass Ion Calculations'!$E21)/2-'Mass Ion Calculations'!$D$5),IF('Mass Ion Calculations'!$D$7="Yes", ('Mass Ion Calculations'!$D$15+'AA Exact Masses'!$Q$2+'AA Exact Masses'!$Q$2-'Mass Ion Calculations'!$C$28-'Mass Ion Calculations'!$C21)/2-'Mass Ion Calculations'!$D$5,('Mass Ion Calculations'!$F$15+'AA Exact Masses'!$Q$2+'AA Exact Masses'!$Q$2-'Mass Ion Calculations'!$E$28-'Mass Ion Calculations'!$E21)/2-'Mass Ion Calculations'!$D$5)))</f>
        <v/>
      </c>
    </row>
    <row r="21" spans="2:26" x14ac:dyDescent="0.25">
      <c r="B21" s="4" t="str">
        <f>IF('Mass Ion Calculations'!B22="","", 'Mass Ion Calculations'!B22)</f>
        <v>HOAt</v>
      </c>
      <c r="C21" s="3" t="e">
        <f>IF(OR($B21="",C$3=""),"",IF('Mass Ion Calculations'!$D$6="Yes",IF('Mass Ion Calculations'!$D$7="Yes",('Mass Ion Calculations'!$D$18+'AA Exact Masses'!$Q$2+'AA Exact Masses'!$Q$2-'Mass Ion Calculations'!$C$5-'Mass Ion Calculations'!$C22)/2-'Mass Ion Calculations'!$D$5,('Mass Ion Calculations'!$F$18+'AA Exact Masses'!$Q$2+'AA Exact Masses'!$Q$2-'Mass Ion Calculations'!$E$5-'Mass Ion Calculations'!$E22)/2-'Mass Ion Calculations'!$D$5),IF('Mass Ion Calculations'!$D$7="Yes", ('Mass Ion Calculations'!$D$15+'AA Exact Masses'!$Q$2+'AA Exact Masses'!$Q$2-'Mass Ion Calculations'!$C$5-'Mass Ion Calculations'!$C22)/2-'Mass Ion Calculations'!$D$5,('Mass Ion Calculations'!$F$15+'AA Exact Masses'!$Q$2+'AA Exact Masses'!$Q$2-'Mass Ion Calculations'!$E$5-'Mass Ion Calculations'!$E22)/2-'Mass Ion Calculations'!$D$5)))</f>
        <v>#VALUE!</v>
      </c>
      <c r="D21" s="3" t="e">
        <f>IF(OR($B21="",D$3=""),"",IF('Mass Ion Calculations'!$D$6="Yes",IF('Mass Ion Calculations'!$D$7="Yes",('Mass Ion Calculations'!$D$18+'AA Exact Masses'!$Q$2+'AA Exact Masses'!$Q$2-'Mass Ion Calculations'!$C$6-'Mass Ion Calculations'!$C22)/2-'Mass Ion Calculations'!$D$5,('Mass Ion Calculations'!$F$18+'AA Exact Masses'!$Q$2+'AA Exact Masses'!$Q$2-'Mass Ion Calculations'!$E$6-'Mass Ion Calculations'!$E22)/2-'Mass Ion Calculations'!$D$5),IF('Mass Ion Calculations'!$D$7="Yes", ('Mass Ion Calculations'!$D$15+'AA Exact Masses'!$Q$2+'AA Exact Masses'!$Q$2-'Mass Ion Calculations'!$C$6-'Mass Ion Calculations'!$C22)/2-'Mass Ion Calculations'!$D$5,('Mass Ion Calculations'!$F$15+'AA Exact Masses'!$Q$2+'AA Exact Masses'!$Q$2-'Mass Ion Calculations'!$E$6-'Mass Ion Calculations'!$E22)/2-'Mass Ion Calculations'!$D$5)))</f>
        <v>#VALUE!</v>
      </c>
      <c r="E21" s="3" t="e">
        <f>IF(OR($B21="",E$3=""),"",IF('Mass Ion Calculations'!$D$6="Yes",IF('Mass Ion Calculations'!$D$7="Yes",('Mass Ion Calculations'!$D$18+'AA Exact Masses'!$Q$2+'AA Exact Masses'!$Q$2-'Mass Ion Calculations'!$C$7-'Mass Ion Calculations'!$C22)/2-'Mass Ion Calculations'!$D$5,('Mass Ion Calculations'!$F$18+'AA Exact Masses'!$Q$2+'AA Exact Masses'!$Q$2-'Mass Ion Calculations'!$E$7-'Mass Ion Calculations'!$E22)/2-'Mass Ion Calculations'!$D$5),IF('Mass Ion Calculations'!$D$7="Yes", ('Mass Ion Calculations'!$D$15+'AA Exact Masses'!$Q$2+'AA Exact Masses'!$Q$2-'Mass Ion Calculations'!$C$7-'Mass Ion Calculations'!$C22)/2-'Mass Ion Calculations'!$D$5,('Mass Ion Calculations'!$F$15+'AA Exact Masses'!$Q$2+'AA Exact Masses'!$Q$2-'Mass Ion Calculations'!$E$7-'Mass Ion Calculations'!$E22)/2-'Mass Ion Calculations'!$D$5)))</f>
        <v>#VALUE!</v>
      </c>
      <c r="F21" s="3" t="e">
        <f>IF(OR($B21="",F$3=""),"",IF('Mass Ion Calculations'!$D$6="Yes",IF('Mass Ion Calculations'!$D$7="Yes",('Mass Ion Calculations'!$D$18+'AA Exact Masses'!$Q$2+'AA Exact Masses'!$Q$2-'Mass Ion Calculations'!$C$8-'Mass Ion Calculations'!$C22)/2-'Mass Ion Calculations'!$D$5,('Mass Ion Calculations'!$F$18+'AA Exact Masses'!$Q$2+'AA Exact Masses'!$Q$2-'Mass Ion Calculations'!$E$8-'Mass Ion Calculations'!$E22)/2-'Mass Ion Calculations'!$D$5),IF('Mass Ion Calculations'!$D$7="Yes", ('Mass Ion Calculations'!$D$15+'AA Exact Masses'!$Q$2+'AA Exact Masses'!$Q$2-'Mass Ion Calculations'!$C$8-'Mass Ion Calculations'!$C22)/2-'Mass Ion Calculations'!$D$5,('Mass Ion Calculations'!$F$15+'AA Exact Masses'!$Q$2+'AA Exact Masses'!$Q$2-'Mass Ion Calculations'!$E$8-'Mass Ion Calculations'!$E22)/2-'Mass Ion Calculations'!$D$5)))</f>
        <v>#VALUE!</v>
      </c>
      <c r="G21" s="3" t="e">
        <f>IF(OR($B21="",G$3=""),"",IF('Mass Ion Calculations'!$D$6="Yes",IF('Mass Ion Calculations'!$D$7="Yes",('Mass Ion Calculations'!$D$18+'AA Exact Masses'!$Q$2+'AA Exact Masses'!$Q$2-'Mass Ion Calculations'!$C$9-'Mass Ion Calculations'!$C22)/2-'Mass Ion Calculations'!$D$5,('Mass Ion Calculations'!$F$18+'AA Exact Masses'!$Q$2+'AA Exact Masses'!$Q$2-'Mass Ion Calculations'!$E$9-'Mass Ion Calculations'!$E22)/2-'Mass Ion Calculations'!$D$5),IF('Mass Ion Calculations'!$D$7="Yes", ('Mass Ion Calculations'!$D$15+'AA Exact Masses'!$Q$2+'AA Exact Masses'!$Q$2-'Mass Ion Calculations'!$C$9-'Mass Ion Calculations'!$C22)/2-'Mass Ion Calculations'!$D$5,('Mass Ion Calculations'!$F$15+'AA Exact Masses'!$Q$2+'AA Exact Masses'!$Q$2-'Mass Ion Calculations'!$E$9-'Mass Ion Calculations'!$E22)/2-'Mass Ion Calculations'!$D$5)))</f>
        <v>#VALUE!</v>
      </c>
      <c r="H21" s="3" t="e">
        <f>IF(OR($B21="",H$3=""),"",IF('Mass Ion Calculations'!$D$6="Yes",IF('Mass Ion Calculations'!$D$7="Yes",('Mass Ion Calculations'!$D$18+'AA Exact Masses'!$Q$2+'AA Exact Masses'!$Q$2-'Mass Ion Calculations'!$C$10-'Mass Ion Calculations'!$C22)/2-'Mass Ion Calculations'!$D$5,('Mass Ion Calculations'!$F$18+'AA Exact Masses'!$Q$2+'AA Exact Masses'!$Q$2-'Mass Ion Calculations'!$E$10-'Mass Ion Calculations'!$E22)/2-'Mass Ion Calculations'!$D$5),IF('Mass Ion Calculations'!$D$7="Yes", ('Mass Ion Calculations'!$D$15+'AA Exact Masses'!$Q$2+'AA Exact Masses'!$Q$2-'Mass Ion Calculations'!$C$10-'Mass Ion Calculations'!$C22)/2-'Mass Ion Calculations'!$D$5,('Mass Ion Calculations'!$F$15+'AA Exact Masses'!$Q$2+'AA Exact Masses'!$Q$2-'Mass Ion Calculations'!$E$10-'Mass Ion Calculations'!$E22)/2-'Mass Ion Calculations'!$D$5)))</f>
        <v>#VALUE!</v>
      </c>
      <c r="I21" s="3" t="e">
        <f>IF(OR($B21="",I$3=""),"",IF('Mass Ion Calculations'!$D$6="Yes",IF('Mass Ion Calculations'!$D$7="Yes",('Mass Ion Calculations'!$D$18+'AA Exact Masses'!$Q$2+'AA Exact Masses'!$Q$2-'Mass Ion Calculations'!$C$11-'Mass Ion Calculations'!$C22)/2-'Mass Ion Calculations'!$D$5,('Mass Ion Calculations'!$F$18+'AA Exact Masses'!$Q$2+'AA Exact Masses'!$Q$2-'Mass Ion Calculations'!$E$11-'Mass Ion Calculations'!$E22)/2-'Mass Ion Calculations'!$D$5),IF('Mass Ion Calculations'!$D$7="Yes", ('Mass Ion Calculations'!$D$15+'AA Exact Masses'!$Q$2+'AA Exact Masses'!$Q$2-'Mass Ion Calculations'!$C$11-'Mass Ion Calculations'!$C22)/2-'Mass Ion Calculations'!$D$5,('Mass Ion Calculations'!$F$15+'AA Exact Masses'!$Q$2+'AA Exact Masses'!$Q$2-'Mass Ion Calculations'!$E$11-'Mass Ion Calculations'!$E22)/2-'Mass Ion Calculations'!$D$5)))</f>
        <v>#VALUE!</v>
      </c>
      <c r="J21" s="3" t="e">
        <f>IF(OR($B21="",J$3=""),"",IF('Mass Ion Calculations'!$D$6="Yes",IF('Mass Ion Calculations'!$D$7="Yes",('Mass Ion Calculations'!$D$18+'AA Exact Masses'!$Q$2+'AA Exact Masses'!$Q$2-'Mass Ion Calculations'!$C$12-'Mass Ion Calculations'!$C22)/2-'Mass Ion Calculations'!$D$5,('Mass Ion Calculations'!$F$18+'AA Exact Masses'!$Q$2+'AA Exact Masses'!$Q$2-'Mass Ion Calculations'!$E$12-'Mass Ion Calculations'!$E22)/2-'Mass Ion Calculations'!$D$5),IF('Mass Ion Calculations'!$D$7="Yes", ('Mass Ion Calculations'!$D$15+'AA Exact Masses'!$Q$2+'AA Exact Masses'!$Q$2-'Mass Ion Calculations'!$C$12-'Mass Ion Calculations'!$C22)/2-'Mass Ion Calculations'!$D$5,('Mass Ion Calculations'!$F$15+'AA Exact Masses'!$Q$2+'AA Exact Masses'!$Q$2-'Mass Ion Calculations'!$E$12-'Mass Ion Calculations'!$E22)/2-'Mass Ion Calculations'!$D$5)))</f>
        <v>#VALUE!</v>
      </c>
      <c r="K21" s="3" t="e">
        <f>IF(OR($B21="",K$3=""),"",IF('Mass Ion Calculations'!$D$6="Yes",IF('Mass Ion Calculations'!$D$7="Yes",('Mass Ion Calculations'!$D$18+'AA Exact Masses'!$Q$2+'AA Exact Masses'!$Q$2-'Mass Ion Calculations'!$C$13-'Mass Ion Calculations'!$C22)/2-'Mass Ion Calculations'!$D$5,('Mass Ion Calculations'!$F$18+'AA Exact Masses'!$Q$2+'AA Exact Masses'!$Q$2-'Mass Ion Calculations'!$E$13-'Mass Ion Calculations'!$E22)/2-'Mass Ion Calculations'!$D$5),IF('Mass Ion Calculations'!$D$7="Yes", ('Mass Ion Calculations'!$D$15+'AA Exact Masses'!$Q$2+'AA Exact Masses'!$Q$2-'Mass Ion Calculations'!$C$13-'Mass Ion Calculations'!$C22)/2-'Mass Ion Calculations'!$D$5,('Mass Ion Calculations'!$F$15+'AA Exact Masses'!$Q$2+'AA Exact Masses'!$Q$2-'Mass Ion Calculations'!$E$13-'Mass Ion Calculations'!$E22)/2-'Mass Ion Calculations'!$D$5)))</f>
        <v>#VALUE!</v>
      </c>
      <c r="L21" s="3" t="e">
        <f>IF(OR($B21="",L$3=""),"",IF('Mass Ion Calculations'!$D$6="Yes",IF('Mass Ion Calculations'!$D$7="Yes",('Mass Ion Calculations'!$D$18+'AA Exact Masses'!$Q$2+'AA Exact Masses'!$Q$2-'Mass Ion Calculations'!$C$14-'Mass Ion Calculations'!$C22)/2-'Mass Ion Calculations'!$D$5,('Mass Ion Calculations'!$F$18+'AA Exact Masses'!$Q$2+'AA Exact Masses'!$Q$2-'Mass Ion Calculations'!$E$14-'Mass Ion Calculations'!$E22)/2-'Mass Ion Calculations'!$D$5),IF('Mass Ion Calculations'!$D$7="Yes", ('Mass Ion Calculations'!$D$15+'AA Exact Masses'!$Q$2+'AA Exact Masses'!$Q$2-'Mass Ion Calculations'!$C$14-'Mass Ion Calculations'!$C22)/2-'Mass Ion Calculations'!$D$5,('Mass Ion Calculations'!$F$15+'AA Exact Masses'!$Q$2+'AA Exact Masses'!$Q$2-'Mass Ion Calculations'!$E$14-'Mass Ion Calculations'!$E22)/2-'Mass Ion Calculations'!$D$5)))</f>
        <v>#VALUE!</v>
      </c>
      <c r="M21" s="3" t="e">
        <f>IF(OR($B21="",M$3=""),"",IF('Mass Ion Calculations'!$D$6="Yes",IF('Mass Ion Calculations'!$D$7="Yes",('Mass Ion Calculations'!$D$18+'AA Exact Masses'!$Q$2+'AA Exact Masses'!$Q$2-'Mass Ion Calculations'!$C$15-'Mass Ion Calculations'!$C22)/2-'Mass Ion Calculations'!$D$5,('Mass Ion Calculations'!$F$18+'AA Exact Masses'!$Q$2+'AA Exact Masses'!$Q$2-'Mass Ion Calculations'!$E$15-'Mass Ion Calculations'!$E22)/2-'Mass Ion Calculations'!$D$5),IF('Mass Ion Calculations'!$D$7="Yes", ('Mass Ion Calculations'!$D$15+'AA Exact Masses'!$Q$2+'AA Exact Masses'!$Q$2-'Mass Ion Calculations'!$C$15-'Mass Ion Calculations'!$C22)/2-'Mass Ion Calculations'!$D$5,('Mass Ion Calculations'!$F$15+'AA Exact Masses'!$Q$2+'AA Exact Masses'!$Q$2-'Mass Ion Calculations'!$E$15-'Mass Ion Calculations'!$E22)/2-'Mass Ion Calculations'!$D$5)))</f>
        <v>#VALUE!</v>
      </c>
      <c r="N21" s="3" t="e">
        <f>IF(OR($B21="",N$3=""),"",IF('Mass Ion Calculations'!$D$6="Yes",IF('Mass Ion Calculations'!$D$7="Yes",('Mass Ion Calculations'!$D$18+'AA Exact Masses'!$Q$2+'AA Exact Masses'!$Q$2-'Mass Ion Calculations'!$C$16-'Mass Ion Calculations'!$C22)/2-'Mass Ion Calculations'!$D$5,('Mass Ion Calculations'!$F$18+'AA Exact Masses'!$Q$2+'AA Exact Masses'!$Q$2-'Mass Ion Calculations'!$E$16-'Mass Ion Calculations'!$E22)/2-'Mass Ion Calculations'!$D$5),IF('Mass Ion Calculations'!$D$7="Yes", ('Mass Ion Calculations'!$D$15+'AA Exact Masses'!$Q$2+'AA Exact Masses'!$Q$2-'Mass Ion Calculations'!$C$16-'Mass Ion Calculations'!$C22)/2-'Mass Ion Calculations'!$D$5,('Mass Ion Calculations'!$F$15+'AA Exact Masses'!$Q$2+'AA Exact Masses'!$Q$2-'Mass Ion Calculations'!$E$16-'Mass Ion Calculations'!$E22)/2-'Mass Ion Calculations'!$D$5)))</f>
        <v>#VALUE!</v>
      </c>
      <c r="O21" s="3" t="e">
        <f>IF(OR($B21="",O$3=""),"",IF('Mass Ion Calculations'!$D$6="Yes",IF('Mass Ion Calculations'!$D$7="Yes",('Mass Ion Calculations'!$D$18+'AA Exact Masses'!$Q$2+'AA Exact Masses'!$Q$2-'Mass Ion Calculations'!$C$17-'Mass Ion Calculations'!$C22)/2-'Mass Ion Calculations'!$D$5,('Mass Ion Calculations'!$F$18+'AA Exact Masses'!$Q$2+'AA Exact Masses'!$Q$2-'Mass Ion Calculations'!$E$17-'Mass Ion Calculations'!$E22)/2-'Mass Ion Calculations'!$D$5),IF('Mass Ion Calculations'!$D$7="Yes", ('Mass Ion Calculations'!$D$15+'AA Exact Masses'!$Q$2+'AA Exact Masses'!$Q$2-'Mass Ion Calculations'!$C$17-'Mass Ion Calculations'!$C22)/2-'Mass Ion Calculations'!$D$5,('Mass Ion Calculations'!$F$15+'AA Exact Masses'!$Q$2+'AA Exact Masses'!$Q$2-'Mass Ion Calculations'!$E$17-'Mass Ion Calculations'!$E22)/2-'Mass Ion Calculations'!$D$5)))</f>
        <v>#VALUE!</v>
      </c>
      <c r="P21" s="3" t="e">
        <f>IF(OR($B21="",P$3=""),"",IF('Mass Ion Calculations'!$D$6="Yes",IF('Mass Ion Calculations'!$D$7="Yes",('Mass Ion Calculations'!$D$18+'AA Exact Masses'!$Q$2+'AA Exact Masses'!$Q$2-'Mass Ion Calculations'!$C$18-'Mass Ion Calculations'!$C22)/2-'Mass Ion Calculations'!$D$5,('Mass Ion Calculations'!$F$18+'AA Exact Masses'!$Q$2+'AA Exact Masses'!$Q$2-'Mass Ion Calculations'!$E$18-'Mass Ion Calculations'!$E22)/2-'Mass Ion Calculations'!$D$5),IF('Mass Ion Calculations'!$D$7="Yes", ('Mass Ion Calculations'!$D$15+'AA Exact Masses'!$Q$2+'AA Exact Masses'!$Q$2-'Mass Ion Calculations'!$C$18-'Mass Ion Calculations'!$C22)/2-'Mass Ion Calculations'!$D$5,('Mass Ion Calculations'!$F$15+'AA Exact Masses'!$Q$2+'AA Exact Masses'!$Q$2-'Mass Ion Calculations'!$E$18-'Mass Ion Calculations'!$E22)/2-'Mass Ion Calculations'!$D$5)))</f>
        <v>#VALUE!</v>
      </c>
      <c r="Q21" s="3" t="e">
        <f>IF(OR($B21="",Q$3=""),"",IF('Mass Ion Calculations'!$D$6="Yes",IF('Mass Ion Calculations'!$D$7="Yes",('Mass Ion Calculations'!$D$18+'AA Exact Masses'!$Q$2+'AA Exact Masses'!$Q$2-'Mass Ion Calculations'!$C$19-'Mass Ion Calculations'!$C22)/2-'Mass Ion Calculations'!$D$5,('Mass Ion Calculations'!$F$18+'AA Exact Masses'!$Q$2+'AA Exact Masses'!$Q$2-'Mass Ion Calculations'!$E$19-'Mass Ion Calculations'!$E22)/2-'Mass Ion Calculations'!$D$5),IF('Mass Ion Calculations'!$D$7="Yes", ('Mass Ion Calculations'!$D$15+'AA Exact Masses'!$Q$2+'AA Exact Masses'!$Q$2-'Mass Ion Calculations'!$C$19-'Mass Ion Calculations'!$C22)/2-'Mass Ion Calculations'!$D$5,('Mass Ion Calculations'!$F$15+'AA Exact Masses'!$Q$2+'AA Exact Masses'!$Q$2-'Mass Ion Calculations'!$E$19-'Mass Ion Calculations'!$E22)/2-'Mass Ion Calculations'!$D$5)))</f>
        <v>#VALUE!</v>
      </c>
      <c r="R21" s="3" t="e">
        <f>IF(OR($B21="",R$3=""),"",IF('Mass Ion Calculations'!$D$6="Yes",IF('Mass Ion Calculations'!$D$7="Yes",('Mass Ion Calculations'!$D$18+'AA Exact Masses'!$Q$2+'AA Exact Masses'!$Q$2-'Mass Ion Calculations'!$C$20-'Mass Ion Calculations'!$C22)/2-'Mass Ion Calculations'!$D$5,('Mass Ion Calculations'!$F$18+'AA Exact Masses'!$Q$2+'AA Exact Masses'!$Q$2-'Mass Ion Calculations'!$E$20-'Mass Ion Calculations'!$E22)/2-'Mass Ion Calculations'!$D$5),IF('Mass Ion Calculations'!$D$7="Yes", ('Mass Ion Calculations'!$D$15+'AA Exact Masses'!$Q$2+'AA Exact Masses'!$Q$2-'Mass Ion Calculations'!$C$20-'Mass Ion Calculations'!$C22)/2-'Mass Ion Calculations'!$D$5,('Mass Ion Calculations'!$F$15+'AA Exact Masses'!$Q$2+'AA Exact Masses'!$Q$2-'Mass Ion Calculations'!$E$20-'Mass Ion Calculations'!$E22)/2-'Mass Ion Calculations'!$D$5)))</f>
        <v>#VALUE!</v>
      </c>
      <c r="S21" s="3" t="str">
        <f>IF(OR($B21="",S$3=""),"",IF('Mass Ion Calculations'!$D$6="Yes",IF('Mass Ion Calculations'!$D$7="Yes",('Mass Ion Calculations'!$D$18+'AA Exact Masses'!$Q$2+'AA Exact Masses'!$Q$2-'Mass Ion Calculations'!$C$21-'Mass Ion Calculations'!$C22)/2-'Mass Ion Calculations'!$D$5,('Mass Ion Calculations'!$F$18+'AA Exact Masses'!$Q$2+'AA Exact Masses'!$Q$2-'Mass Ion Calculations'!$E$21-'Mass Ion Calculations'!$E22)/2-'Mass Ion Calculations'!$D$5),IF('Mass Ion Calculations'!$D$7="Yes", ('Mass Ion Calculations'!$D$15+'AA Exact Masses'!$Q$2+'AA Exact Masses'!$Q$2-'Mass Ion Calculations'!$C$21-'Mass Ion Calculations'!$C22)/2-'Mass Ion Calculations'!$D$5,('Mass Ion Calculations'!$F$15+'AA Exact Masses'!$Q$2+'AA Exact Masses'!$Q$2-'Mass Ion Calculations'!$E$21-'Mass Ion Calculations'!$E22)/2-'Mass Ion Calculations'!$D$5)))</f>
        <v/>
      </c>
      <c r="T21" s="3" t="e">
        <f>IF(OR($B21="",T$3=""),"",IF('Mass Ion Calculations'!$D$6="Yes",IF('Mass Ion Calculations'!$D$7="Yes",('Mass Ion Calculations'!$D$18+'AA Exact Masses'!$Q$2+'AA Exact Masses'!$Q$2-'Mass Ion Calculations'!$C$22-'Mass Ion Calculations'!$C22)/2-'Mass Ion Calculations'!$D$5,('Mass Ion Calculations'!$F$18+'AA Exact Masses'!$Q$2+'AA Exact Masses'!$Q$2-'Mass Ion Calculations'!$E$22-'Mass Ion Calculations'!$E22)/2-'Mass Ion Calculations'!$D$5),IF('Mass Ion Calculations'!$D$7="Yes", ('Mass Ion Calculations'!$D$15+'AA Exact Masses'!$Q$2+'AA Exact Masses'!$Q$2-'Mass Ion Calculations'!$C$22-'Mass Ion Calculations'!$C22)/2-'Mass Ion Calculations'!$D$5,('Mass Ion Calculations'!$F$15+'AA Exact Masses'!$Q$2+'AA Exact Masses'!$Q$2-'Mass Ion Calculations'!$E$22-'Mass Ion Calculations'!$E22)/2-'Mass Ion Calculations'!$D$5)))</f>
        <v>#VALUE!</v>
      </c>
      <c r="U21" s="3" t="e">
        <f>IF(OR($B21="",U$3=""),"",IF('Mass Ion Calculations'!$D$6="Yes",IF('Mass Ion Calculations'!$D$7="Yes",('Mass Ion Calculations'!$D$18+'AA Exact Masses'!$Q$2+'AA Exact Masses'!$Q$2-'Mass Ion Calculations'!$C$23-'Mass Ion Calculations'!$C22)/2-'Mass Ion Calculations'!$D$5,('Mass Ion Calculations'!$F$18+'AA Exact Masses'!$Q$2+'AA Exact Masses'!$Q$2-'Mass Ion Calculations'!$E$23-'Mass Ion Calculations'!$E22)/2-'Mass Ion Calculations'!$D$5),IF('Mass Ion Calculations'!$D$7="Yes", ('Mass Ion Calculations'!$D$15+'AA Exact Masses'!$Q$2+'AA Exact Masses'!$Q$2-'Mass Ion Calculations'!$C$23-'Mass Ion Calculations'!$C22)/2-'Mass Ion Calculations'!$D$5,('Mass Ion Calculations'!$F$15+'AA Exact Masses'!$Q$2+'AA Exact Masses'!$Q$2-'Mass Ion Calculations'!$E$23-'Mass Ion Calculations'!$E22)/2-'Mass Ion Calculations'!$D$5)))</f>
        <v>#VALUE!</v>
      </c>
      <c r="V21" s="3" t="str">
        <f>IF(OR($B21="",V$3=""),"",IF('Mass Ion Calculations'!$D$6="Yes",IF('Mass Ion Calculations'!$D$7="Yes",('Mass Ion Calculations'!$D$18+'AA Exact Masses'!$Q$2+'AA Exact Masses'!$Q$2-'Mass Ion Calculations'!$C$24-'Mass Ion Calculations'!$C22)/2-'Mass Ion Calculations'!$D$5,('Mass Ion Calculations'!$F$18+'AA Exact Masses'!$Q$2+'AA Exact Masses'!$Q$2-'Mass Ion Calculations'!$E$24-'Mass Ion Calculations'!$E22)/2-'Mass Ion Calculations'!$D$5),IF('Mass Ion Calculations'!$D$7="Yes", ('Mass Ion Calculations'!$D$15+'AA Exact Masses'!$Q$2+'AA Exact Masses'!$Q$2-'Mass Ion Calculations'!$C$24-'Mass Ion Calculations'!$C22)/2-'Mass Ion Calculations'!$D$5,('Mass Ion Calculations'!$F$15+'AA Exact Masses'!$Q$2+'AA Exact Masses'!$Q$2-'Mass Ion Calculations'!$E$24-'Mass Ion Calculations'!$E22)/2-'Mass Ion Calculations'!$D$5)))</f>
        <v/>
      </c>
      <c r="W21" s="3" t="str">
        <f>IF(OR($B21="",W$3=""),"",IF('Mass Ion Calculations'!$D$6="Yes",IF('Mass Ion Calculations'!$D$7="Yes",('Mass Ion Calculations'!$D$18+'AA Exact Masses'!$Q$2+'AA Exact Masses'!$Q$2-'Mass Ion Calculations'!$C$25-'Mass Ion Calculations'!$C22)/2-'Mass Ion Calculations'!$D$5,('Mass Ion Calculations'!$F$18+'AA Exact Masses'!$Q$2+'AA Exact Masses'!$Q$2-'Mass Ion Calculations'!$E$25-'Mass Ion Calculations'!$E22)/2-'Mass Ion Calculations'!$D$5),IF('Mass Ion Calculations'!$D$7="Yes", ('Mass Ion Calculations'!$D$15+'AA Exact Masses'!$Q$2+'AA Exact Masses'!$Q$2-'Mass Ion Calculations'!$C$25-'Mass Ion Calculations'!$C22)/2-'Mass Ion Calculations'!$D$5,('Mass Ion Calculations'!$F$15+'AA Exact Masses'!$Q$2+'AA Exact Masses'!$Q$2-'Mass Ion Calculations'!$E$25-'Mass Ion Calculations'!$E22)/2-'Mass Ion Calculations'!$D$5)))</f>
        <v/>
      </c>
      <c r="X21" s="3" t="str">
        <f>IF(OR($B21="",X$3=""),"",IF('Mass Ion Calculations'!$D$6="Yes",IF('Mass Ion Calculations'!$D$7="Yes",('Mass Ion Calculations'!$D$18+'AA Exact Masses'!$Q$2+'AA Exact Masses'!$Q$2-'Mass Ion Calculations'!$C$26-'Mass Ion Calculations'!$C22)/2-'Mass Ion Calculations'!$D$5,('Mass Ion Calculations'!$F$18+'AA Exact Masses'!$Q$2+'AA Exact Masses'!$Q$2-'Mass Ion Calculations'!$E$26-'Mass Ion Calculations'!$E22)/2-'Mass Ion Calculations'!$D$5),IF('Mass Ion Calculations'!$D$7="Yes", ('Mass Ion Calculations'!$D$15+'AA Exact Masses'!$Q$2+'AA Exact Masses'!$Q$2-'Mass Ion Calculations'!$C$26-'Mass Ion Calculations'!$C22)/2-'Mass Ion Calculations'!$D$5,('Mass Ion Calculations'!$F$15+'AA Exact Masses'!$Q$2+'AA Exact Masses'!$Q$2-'Mass Ion Calculations'!$E$26-'Mass Ion Calculations'!$E22)/2-'Mass Ion Calculations'!$D$5)))</f>
        <v/>
      </c>
      <c r="Y21" s="3" t="str">
        <f>IF(OR($B21="",Y$3=""),"",IF('Mass Ion Calculations'!$D$6="Yes",IF('Mass Ion Calculations'!$D$7="Yes",('Mass Ion Calculations'!$D$18+'AA Exact Masses'!$Q$2+'AA Exact Masses'!$Q$2-'Mass Ion Calculations'!$C$27-'Mass Ion Calculations'!$C22)/2-'Mass Ion Calculations'!$D$5,('Mass Ion Calculations'!$F$18+'AA Exact Masses'!$Q$2+'AA Exact Masses'!$Q$2-'Mass Ion Calculations'!$E$27-'Mass Ion Calculations'!$E22)/2-'Mass Ion Calculations'!$D$5),IF('Mass Ion Calculations'!$D$7="Yes", ('Mass Ion Calculations'!$D$15+'AA Exact Masses'!$Q$2+'AA Exact Masses'!$Q$2-'Mass Ion Calculations'!$C$27-'Mass Ion Calculations'!$C22)/2-'Mass Ion Calculations'!$D$5,('Mass Ion Calculations'!$F$15+'AA Exact Masses'!$Q$2+'AA Exact Masses'!$Q$2-'Mass Ion Calculations'!$E$27-'Mass Ion Calculations'!$E22)/2-'Mass Ion Calculations'!$D$5)))</f>
        <v/>
      </c>
      <c r="Z21" s="3" t="str">
        <f>IF(OR($B21="",Z$3=""),"",IF('Mass Ion Calculations'!$D$6="Yes",IF('Mass Ion Calculations'!$D$7="Yes",('Mass Ion Calculations'!$D$18+'AA Exact Masses'!$Q$2+'AA Exact Masses'!$Q$2-'Mass Ion Calculations'!$C$28-'Mass Ion Calculations'!$C22)/2-'Mass Ion Calculations'!$D$5,('Mass Ion Calculations'!$F$18+'AA Exact Masses'!$Q$2+'AA Exact Masses'!$Q$2-'Mass Ion Calculations'!$E$28-'Mass Ion Calculations'!$E22)/2-'Mass Ion Calculations'!$D$5),IF('Mass Ion Calculations'!$D$7="Yes", ('Mass Ion Calculations'!$D$15+'AA Exact Masses'!$Q$2+'AA Exact Masses'!$Q$2-'Mass Ion Calculations'!$C$28-'Mass Ion Calculations'!$C22)/2-'Mass Ion Calculations'!$D$5,('Mass Ion Calculations'!$F$15+'AA Exact Masses'!$Q$2+'AA Exact Masses'!$Q$2-'Mass Ion Calculations'!$E$28-'Mass Ion Calculations'!$E22)/2-'Mass Ion Calculations'!$D$5)))</f>
        <v/>
      </c>
    </row>
    <row r="22" spans="2:26" x14ac:dyDescent="0.25">
      <c r="B22" s="4" t="str">
        <f>IF('Mass Ion Calculations'!B23="","", 'Mass Ion Calculations'!B23)</f>
        <v>HCTU</v>
      </c>
      <c r="C22" s="3" t="e">
        <f>IF(OR($B22="",C$3=""),"",IF('Mass Ion Calculations'!$D$6="Yes",IF('Mass Ion Calculations'!$D$7="Yes",('Mass Ion Calculations'!$D$18+'AA Exact Masses'!$Q$2+'AA Exact Masses'!$Q$2-'Mass Ion Calculations'!$C$5-'Mass Ion Calculations'!$C23)/2-'Mass Ion Calculations'!$D$5,('Mass Ion Calculations'!$F$18+'AA Exact Masses'!$Q$2+'AA Exact Masses'!$Q$2-'Mass Ion Calculations'!$E$5-'Mass Ion Calculations'!$E23)/2-'Mass Ion Calculations'!$D$5),IF('Mass Ion Calculations'!$D$7="Yes", ('Mass Ion Calculations'!$D$15+'AA Exact Masses'!$Q$2+'AA Exact Masses'!$Q$2-'Mass Ion Calculations'!$C$5-'Mass Ion Calculations'!$C23)/2-'Mass Ion Calculations'!$D$5,('Mass Ion Calculations'!$F$15+'AA Exact Masses'!$Q$2+'AA Exact Masses'!$Q$2-'Mass Ion Calculations'!$E$5-'Mass Ion Calculations'!$E23)/2-'Mass Ion Calculations'!$D$5)))</f>
        <v>#VALUE!</v>
      </c>
      <c r="D22" s="3" t="e">
        <f>IF(OR($B22="",D$3=""),"",IF('Mass Ion Calculations'!$D$6="Yes",IF('Mass Ion Calculations'!$D$7="Yes",('Mass Ion Calculations'!$D$18+'AA Exact Masses'!$Q$2+'AA Exact Masses'!$Q$2-'Mass Ion Calculations'!$C$6-'Mass Ion Calculations'!$C23)/2-'Mass Ion Calculations'!$D$5,('Mass Ion Calculations'!$F$18+'AA Exact Masses'!$Q$2+'AA Exact Masses'!$Q$2-'Mass Ion Calculations'!$E$6-'Mass Ion Calculations'!$E23)/2-'Mass Ion Calculations'!$D$5),IF('Mass Ion Calculations'!$D$7="Yes", ('Mass Ion Calculations'!$D$15+'AA Exact Masses'!$Q$2+'AA Exact Masses'!$Q$2-'Mass Ion Calculations'!$C$6-'Mass Ion Calculations'!$C23)/2-'Mass Ion Calculations'!$D$5,('Mass Ion Calculations'!$F$15+'AA Exact Masses'!$Q$2+'AA Exact Masses'!$Q$2-'Mass Ion Calculations'!$E$6-'Mass Ion Calculations'!$E23)/2-'Mass Ion Calculations'!$D$5)))</f>
        <v>#VALUE!</v>
      </c>
      <c r="E22" s="3" t="e">
        <f>IF(OR($B22="",E$3=""),"",IF('Mass Ion Calculations'!$D$6="Yes",IF('Mass Ion Calculations'!$D$7="Yes",('Mass Ion Calculations'!$D$18+'AA Exact Masses'!$Q$2+'AA Exact Masses'!$Q$2-'Mass Ion Calculations'!$C$7-'Mass Ion Calculations'!$C23)/2-'Mass Ion Calculations'!$D$5,('Mass Ion Calculations'!$F$18+'AA Exact Masses'!$Q$2+'AA Exact Masses'!$Q$2-'Mass Ion Calculations'!$E$7-'Mass Ion Calculations'!$E23)/2-'Mass Ion Calculations'!$D$5),IF('Mass Ion Calculations'!$D$7="Yes", ('Mass Ion Calculations'!$D$15+'AA Exact Masses'!$Q$2+'AA Exact Masses'!$Q$2-'Mass Ion Calculations'!$C$7-'Mass Ion Calculations'!$C23)/2-'Mass Ion Calculations'!$D$5,('Mass Ion Calculations'!$F$15+'AA Exact Masses'!$Q$2+'AA Exact Masses'!$Q$2-'Mass Ion Calculations'!$E$7-'Mass Ion Calculations'!$E23)/2-'Mass Ion Calculations'!$D$5)))</f>
        <v>#VALUE!</v>
      </c>
      <c r="F22" s="3" t="e">
        <f>IF(OR($B22="",F$3=""),"",IF('Mass Ion Calculations'!$D$6="Yes",IF('Mass Ion Calculations'!$D$7="Yes",('Mass Ion Calculations'!$D$18+'AA Exact Masses'!$Q$2+'AA Exact Masses'!$Q$2-'Mass Ion Calculations'!$C$8-'Mass Ion Calculations'!$C23)/2-'Mass Ion Calculations'!$D$5,('Mass Ion Calculations'!$F$18+'AA Exact Masses'!$Q$2+'AA Exact Masses'!$Q$2-'Mass Ion Calculations'!$E$8-'Mass Ion Calculations'!$E23)/2-'Mass Ion Calculations'!$D$5),IF('Mass Ion Calculations'!$D$7="Yes", ('Mass Ion Calculations'!$D$15+'AA Exact Masses'!$Q$2+'AA Exact Masses'!$Q$2-'Mass Ion Calculations'!$C$8-'Mass Ion Calculations'!$C23)/2-'Mass Ion Calculations'!$D$5,('Mass Ion Calculations'!$F$15+'AA Exact Masses'!$Q$2+'AA Exact Masses'!$Q$2-'Mass Ion Calculations'!$E$8-'Mass Ion Calculations'!$E23)/2-'Mass Ion Calculations'!$D$5)))</f>
        <v>#VALUE!</v>
      </c>
      <c r="G22" s="3" t="e">
        <f>IF(OR($B22="",G$3=""),"",IF('Mass Ion Calculations'!$D$6="Yes",IF('Mass Ion Calculations'!$D$7="Yes",('Mass Ion Calculations'!$D$18+'AA Exact Masses'!$Q$2+'AA Exact Masses'!$Q$2-'Mass Ion Calculations'!$C$9-'Mass Ion Calculations'!$C23)/2-'Mass Ion Calculations'!$D$5,('Mass Ion Calculations'!$F$18+'AA Exact Masses'!$Q$2+'AA Exact Masses'!$Q$2-'Mass Ion Calculations'!$E$9-'Mass Ion Calculations'!$E23)/2-'Mass Ion Calculations'!$D$5),IF('Mass Ion Calculations'!$D$7="Yes", ('Mass Ion Calculations'!$D$15+'AA Exact Masses'!$Q$2+'AA Exact Masses'!$Q$2-'Mass Ion Calculations'!$C$9-'Mass Ion Calculations'!$C23)/2-'Mass Ion Calculations'!$D$5,('Mass Ion Calculations'!$F$15+'AA Exact Masses'!$Q$2+'AA Exact Masses'!$Q$2-'Mass Ion Calculations'!$E$9-'Mass Ion Calculations'!$E23)/2-'Mass Ion Calculations'!$D$5)))</f>
        <v>#VALUE!</v>
      </c>
      <c r="H22" s="3" t="e">
        <f>IF(OR($B22="",H$3=""),"",IF('Mass Ion Calculations'!$D$6="Yes",IF('Mass Ion Calculations'!$D$7="Yes",('Mass Ion Calculations'!$D$18+'AA Exact Masses'!$Q$2+'AA Exact Masses'!$Q$2-'Mass Ion Calculations'!$C$10-'Mass Ion Calculations'!$C23)/2-'Mass Ion Calculations'!$D$5,('Mass Ion Calculations'!$F$18+'AA Exact Masses'!$Q$2+'AA Exact Masses'!$Q$2-'Mass Ion Calculations'!$E$10-'Mass Ion Calculations'!$E23)/2-'Mass Ion Calculations'!$D$5),IF('Mass Ion Calculations'!$D$7="Yes", ('Mass Ion Calculations'!$D$15+'AA Exact Masses'!$Q$2+'AA Exact Masses'!$Q$2-'Mass Ion Calculations'!$C$10-'Mass Ion Calculations'!$C23)/2-'Mass Ion Calculations'!$D$5,('Mass Ion Calculations'!$F$15+'AA Exact Masses'!$Q$2+'AA Exact Masses'!$Q$2-'Mass Ion Calculations'!$E$10-'Mass Ion Calculations'!$E23)/2-'Mass Ion Calculations'!$D$5)))</f>
        <v>#VALUE!</v>
      </c>
      <c r="I22" s="3" t="e">
        <f>IF(OR($B22="",I$3=""),"",IF('Mass Ion Calculations'!$D$6="Yes",IF('Mass Ion Calculations'!$D$7="Yes",('Mass Ion Calculations'!$D$18+'AA Exact Masses'!$Q$2+'AA Exact Masses'!$Q$2-'Mass Ion Calculations'!$C$11-'Mass Ion Calculations'!$C23)/2-'Mass Ion Calculations'!$D$5,('Mass Ion Calculations'!$F$18+'AA Exact Masses'!$Q$2+'AA Exact Masses'!$Q$2-'Mass Ion Calculations'!$E$11-'Mass Ion Calculations'!$E23)/2-'Mass Ion Calculations'!$D$5),IF('Mass Ion Calculations'!$D$7="Yes", ('Mass Ion Calculations'!$D$15+'AA Exact Masses'!$Q$2+'AA Exact Masses'!$Q$2-'Mass Ion Calculations'!$C$11-'Mass Ion Calculations'!$C23)/2-'Mass Ion Calculations'!$D$5,('Mass Ion Calculations'!$F$15+'AA Exact Masses'!$Q$2+'AA Exact Masses'!$Q$2-'Mass Ion Calculations'!$E$11-'Mass Ion Calculations'!$E23)/2-'Mass Ion Calculations'!$D$5)))</f>
        <v>#VALUE!</v>
      </c>
      <c r="J22" s="3" t="e">
        <f>IF(OR($B22="",J$3=""),"",IF('Mass Ion Calculations'!$D$6="Yes",IF('Mass Ion Calculations'!$D$7="Yes",('Mass Ion Calculations'!$D$18+'AA Exact Masses'!$Q$2+'AA Exact Masses'!$Q$2-'Mass Ion Calculations'!$C$12-'Mass Ion Calculations'!$C23)/2-'Mass Ion Calculations'!$D$5,('Mass Ion Calculations'!$F$18+'AA Exact Masses'!$Q$2+'AA Exact Masses'!$Q$2-'Mass Ion Calculations'!$E$12-'Mass Ion Calculations'!$E23)/2-'Mass Ion Calculations'!$D$5),IF('Mass Ion Calculations'!$D$7="Yes", ('Mass Ion Calculations'!$D$15+'AA Exact Masses'!$Q$2+'AA Exact Masses'!$Q$2-'Mass Ion Calculations'!$C$12-'Mass Ion Calculations'!$C23)/2-'Mass Ion Calculations'!$D$5,('Mass Ion Calculations'!$F$15+'AA Exact Masses'!$Q$2+'AA Exact Masses'!$Q$2-'Mass Ion Calculations'!$E$12-'Mass Ion Calculations'!$E23)/2-'Mass Ion Calculations'!$D$5)))</f>
        <v>#VALUE!</v>
      </c>
      <c r="K22" s="3" t="e">
        <f>IF(OR($B22="",K$3=""),"",IF('Mass Ion Calculations'!$D$6="Yes",IF('Mass Ion Calculations'!$D$7="Yes",('Mass Ion Calculations'!$D$18+'AA Exact Masses'!$Q$2+'AA Exact Masses'!$Q$2-'Mass Ion Calculations'!$C$13-'Mass Ion Calculations'!$C23)/2-'Mass Ion Calculations'!$D$5,('Mass Ion Calculations'!$F$18+'AA Exact Masses'!$Q$2+'AA Exact Masses'!$Q$2-'Mass Ion Calculations'!$E$13-'Mass Ion Calculations'!$E23)/2-'Mass Ion Calculations'!$D$5),IF('Mass Ion Calculations'!$D$7="Yes", ('Mass Ion Calculations'!$D$15+'AA Exact Masses'!$Q$2+'AA Exact Masses'!$Q$2-'Mass Ion Calculations'!$C$13-'Mass Ion Calculations'!$C23)/2-'Mass Ion Calculations'!$D$5,('Mass Ion Calculations'!$F$15+'AA Exact Masses'!$Q$2+'AA Exact Masses'!$Q$2-'Mass Ion Calculations'!$E$13-'Mass Ion Calculations'!$E23)/2-'Mass Ion Calculations'!$D$5)))</f>
        <v>#VALUE!</v>
      </c>
      <c r="L22" s="3" t="e">
        <f>IF(OR($B22="",L$3=""),"",IF('Mass Ion Calculations'!$D$6="Yes",IF('Mass Ion Calculations'!$D$7="Yes",('Mass Ion Calculations'!$D$18+'AA Exact Masses'!$Q$2+'AA Exact Masses'!$Q$2-'Mass Ion Calculations'!$C$14-'Mass Ion Calculations'!$C23)/2-'Mass Ion Calculations'!$D$5,('Mass Ion Calculations'!$F$18+'AA Exact Masses'!$Q$2+'AA Exact Masses'!$Q$2-'Mass Ion Calculations'!$E$14-'Mass Ion Calculations'!$E23)/2-'Mass Ion Calculations'!$D$5),IF('Mass Ion Calculations'!$D$7="Yes", ('Mass Ion Calculations'!$D$15+'AA Exact Masses'!$Q$2+'AA Exact Masses'!$Q$2-'Mass Ion Calculations'!$C$14-'Mass Ion Calculations'!$C23)/2-'Mass Ion Calculations'!$D$5,('Mass Ion Calculations'!$F$15+'AA Exact Masses'!$Q$2+'AA Exact Masses'!$Q$2-'Mass Ion Calculations'!$E$14-'Mass Ion Calculations'!$E23)/2-'Mass Ion Calculations'!$D$5)))</f>
        <v>#VALUE!</v>
      </c>
      <c r="M22" s="3" t="e">
        <f>IF(OR($B22="",M$3=""),"",IF('Mass Ion Calculations'!$D$6="Yes",IF('Mass Ion Calculations'!$D$7="Yes",('Mass Ion Calculations'!$D$18+'AA Exact Masses'!$Q$2+'AA Exact Masses'!$Q$2-'Mass Ion Calculations'!$C$15-'Mass Ion Calculations'!$C23)/2-'Mass Ion Calculations'!$D$5,('Mass Ion Calculations'!$F$18+'AA Exact Masses'!$Q$2+'AA Exact Masses'!$Q$2-'Mass Ion Calculations'!$E$15-'Mass Ion Calculations'!$E23)/2-'Mass Ion Calculations'!$D$5),IF('Mass Ion Calculations'!$D$7="Yes", ('Mass Ion Calculations'!$D$15+'AA Exact Masses'!$Q$2+'AA Exact Masses'!$Q$2-'Mass Ion Calculations'!$C$15-'Mass Ion Calculations'!$C23)/2-'Mass Ion Calculations'!$D$5,('Mass Ion Calculations'!$F$15+'AA Exact Masses'!$Q$2+'AA Exact Masses'!$Q$2-'Mass Ion Calculations'!$E$15-'Mass Ion Calculations'!$E23)/2-'Mass Ion Calculations'!$D$5)))</f>
        <v>#VALUE!</v>
      </c>
      <c r="N22" s="3" t="e">
        <f>IF(OR($B22="",N$3=""),"",IF('Mass Ion Calculations'!$D$6="Yes",IF('Mass Ion Calculations'!$D$7="Yes",('Mass Ion Calculations'!$D$18+'AA Exact Masses'!$Q$2+'AA Exact Masses'!$Q$2-'Mass Ion Calculations'!$C$16-'Mass Ion Calculations'!$C23)/2-'Mass Ion Calculations'!$D$5,('Mass Ion Calculations'!$F$18+'AA Exact Masses'!$Q$2+'AA Exact Masses'!$Q$2-'Mass Ion Calculations'!$E$16-'Mass Ion Calculations'!$E23)/2-'Mass Ion Calculations'!$D$5),IF('Mass Ion Calculations'!$D$7="Yes", ('Mass Ion Calculations'!$D$15+'AA Exact Masses'!$Q$2+'AA Exact Masses'!$Q$2-'Mass Ion Calculations'!$C$16-'Mass Ion Calculations'!$C23)/2-'Mass Ion Calculations'!$D$5,('Mass Ion Calculations'!$F$15+'AA Exact Masses'!$Q$2+'AA Exact Masses'!$Q$2-'Mass Ion Calculations'!$E$16-'Mass Ion Calculations'!$E23)/2-'Mass Ion Calculations'!$D$5)))</f>
        <v>#VALUE!</v>
      </c>
      <c r="O22" s="3" t="e">
        <f>IF(OR($B22="",O$3=""),"",IF('Mass Ion Calculations'!$D$6="Yes",IF('Mass Ion Calculations'!$D$7="Yes",('Mass Ion Calculations'!$D$18+'AA Exact Masses'!$Q$2+'AA Exact Masses'!$Q$2-'Mass Ion Calculations'!$C$17-'Mass Ion Calculations'!$C23)/2-'Mass Ion Calculations'!$D$5,('Mass Ion Calculations'!$F$18+'AA Exact Masses'!$Q$2+'AA Exact Masses'!$Q$2-'Mass Ion Calculations'!$E$17-'Mass Ion Calculations'!$E23)/2-'Mass Ion Calculations'!$D$5),IF('Mass Ion Calculations'!$D$7="Yes", ('Mass Ion Calculations'!$D$15+'AA Exact Masses'!$Q$2+'AA Exact Masses'!$Q$2-'Mass Ion Calculations'!$C$17-'Mass Ion Calculations'!$C23)/2-'Mass Ion Calculations'!$D$5,('Mass Ion Calculations'!$F$15+'AA Exact Masses'!$Q$2+'AA Exact Masses'!$Q$2-'Mass Ion Calculations'!$E$17-'Mass Ion Calculations'!$E23)/2-'Mass Ion Calculations'!$D$5)))</f>
        <v>#VALUE!</v>
      </c>
      <c r="P22" s="3" t="e">
        <f>IF(OR($B22="",P$3=""),"",IF('Mass Ion Calculations'!$D$6="Yes",IF('Mass Ion Calculations'!$D$7="Yes",('Mass Ion Calculations'!$D$18+'AA Exact Masses'!$Q$2+'AA Exact Masses'!$Q$2-'Mass Ion Calculations'!$C$18-'Mass Ion Calculations'!$C23)/2-'Mass Ion Calculations'!$D$5,('Mass Ion Calculations'!$F$18+'AA Exact Masses'!$Q$2+'AA Exact Masses'!$Q$2-'Mass Ion Calculations'!$E$18-'Mass Ion Calculations'!$E23)/2-'Mass Ion Calculations'!$D$5),IF('Mass Ion Calculations'!$D$7="Yes", ('Mass Ion Calculations'!$D$15+'AA Exact Masses'!$Q$2+'AA Exact Masses'!$Q$2-'Mass Ion Calculations'!$C$18-'Mass Ion Calculations'!$C23)/2-'Mass Ion Calculations'!$D$5,('Mass Ion Calculations'!$F$15+'AA Exact Masses'!$Q$2+'AA Exact Masses'!$Q$2-'Mass Ion Calculations'!$E$18-'Mass Ion Calculations'!$E23)/2-'Mass Ion Calculations'!$D$5)))</f>
        <v>#VALUE!</v>
      </c>
      <c r="Q22" s="3" t="e">
        <f>IF(OR($B22="",Q$3=""),"",IF('Mass Ion Calculations'!$D$6="Yes",IF('Mass Ion Calculations'!$D$7="Yes",('Mass Ion Calculations'!$D$18+'AA Exact Masses'!$Q$2+'AA Exact Masses'!$Q$2-'Mass Ion Calculations'!$C$19-'Mass Ion Calculations'!$C23)/2-'Mass Ion Calculations'!$D$5,('Mass Ion Calculations'!$F$18+'AA Exact Masses'!$Q$2+'AA Exact Masses'!$Q$2-'Mass Ion Calculations'!$E$19-'Mass Ion Calculations'!$E23)/2-'Mass Ion Calculations'!$D$5),IF('Mass Ion Calculations'!$D$7="Yes", ('Mass Ion Calculations'!$D$15+'AA Exact Masses'!$Q$2+'AA Exact Masses'!$Q$2-'Mass Ion Calculations'!$C$19-'Mass Ion Calculations'!$C23)/2-'Mass Ion Calculations'!$D$5,('Mass Ion Calculations'!$F$15+'AA Exact Masses'!$Q$2+'AA Exact Masses'!$Q$2-'Mass Ion Calculations'!$E$19-'Mass Ion Calculations'!$E23)/2-'Mass Ion Calculations'!$D$5)))</f>
        <v>#VALUE!</v>
      </c>
      <c r="R22" s="3" t="e">
        <f>IF(OR($B22="",R$3=""),"",IF('Mass Ion Calculations'!$D$6="Yes",IF('Mass Ion Calculations'!$D$7="Yes",('Mass Ion Calculations'!$D$18+'AA Exact Masses'!$Q$2+'AA Exact Masses'!$Q$2-'Mass Ion Calculations'!$C$20-'Mass Ion Calculations'!$C23)/2-'Mass Ion Calculations'!$D$5,('Mass Ion Calculations'!$F$18+'AA Exact Masses'!$Q$2+'AA Exact Masses'!$Q$2-'Mass Ion Calculations'!$E$20-'Mass Ion Calculations'!$E23)/2-'Mass Ion Calculations'!$D$5),IF('Mass Ion Calculations'!$D$7="Yes", ('Mass Ion Calculations'!$D$15+'AA Exact Masses'!$Q$2+'AA Exact Masses'!$Q$2-'Mass Ion Calculations'!$C$20-'Mass Ion Calculations'!$C23)/2-'Mass Ion Calculations'!$D$5,('Mass Ion Calculations'!$F$15+'AA Exact Masses'!$Q$2+'AA Exact Masses'!$Q$2-'Mass Ion Calculations'!$E$20-'Mass Ion Calculations'!$E23)/2-'Mass Ion Calculations'!$D$5)))</f>
        <v>#VALUE!</v>
      </c>
      <c r="S22" s="3" t="str">
        <f>IF(OR($B22="",S$3=""),"",IF('Mass Ion Calculations'!$D$6="Yes",IF('Mass Ion Calculations'!$D$7="Yes",('Mass Ion Calculations'!$D$18+'AA Exact Masses'!$Q$2+'AA Exact Masses'!$Q$2-'Mass Ion Calculations'!$C$21-'Mass Ion Calculations'!$C23)/2-'Mass Ion Calculations'!$D$5,('Mass Ion Calculations'!$F$18+'AA Exact Masses'!$Q$2+'AA Exact Masses'!$Q$2-'Mass Ion Calculations'!$E$21-'Mass Ion Calculations'!$E23)/2-'Mass Ion Calculations'!$D$5),IF('Mass Ion Calculations'!$D$7="Yes", ('Mass Ion Calculations'!$D$15+'AA Exact Masses'!$Q$2+'AA Exact Masses'!$Q$2-'Mass Ion Calculations'!$C$21-'Mass Ion Calculations'!$C23)/2-'Mass Ion Calculations'!$D$5,('Mass Ion Calculations'!$F$15+'AA Exact Masses'!$Q$2+'AA Exact Masses'!$Q$2-'Mass Ion Calculations'!$E$21-'Mass Ion Calculations'!$E23)/2-'Mass Ion Calculations'!$D$5)))</f>
        <v/>
      </c>
      <c r="T22" s="3" t="e">
        <f>IF(OR($B22="",T$3=""),"",IF('Mass Ion Calculations'!$D$6="Yes",IF('Mass Ion Calculations'!$D$7="Yes",('Mass Ion Calculations'!$D$18+'AA Exact Masses'!$Q$2+'AA Exact Masses'!$Q$2-'Mass Ion Calculations'!$C$22-'Mass Ion Calculations'!$C23)/2-'Mass Ion Calculations'!$D$5,('Mass Ion Calculations'!$F$18+'AA Exact Masses'!$Q$2+'AA Exact Masses'!$Q$2-'Mass Ion Calculations'!$E$22-'Mass Ion Calculations'!$E23)/2-'Mass Ion Calculations'!$D$5),IF('Mass Ion Calculations'!$D$7="Yes", ('Mass Ion Calculations'!$D$15+'AA Exact Masses'!$Q$2+'AA Exact Masses'!$Q$2-'Mass Ion Calculations'!$C$22-'Mass Ion Calculations'!$C23)/2-'Mass Ion Calculations'!$D$5,('Mass Ion Calculations'!$F$15+'AA Exact Masses'!$Q$2+'AA Exact Masses'!$Q$2-'Mass Ion Calculations'!$E$22-'Mass Ion Calculations'!$E23)/2-'Mass Ion Calculations'!$D$5)))</f>
        <v>#VALUE!</v>
      </c>
      <c r="U22" s="3" t="e">
        <f>IF(OR($B22="",U$3=""),"",IF('Mass Ion Calculations'!$D$6="Yes",IF('Mass Ion Calculations'!$D$7="Yes",('Mass Ion Calculations'!$D$18+'AA Exact Masses'!$Q$2+'AA Exact Masses'!$Q$2-'Mass Ion Calculations'!$C$23-'Mass Ion Calculations'!$C23)/2-'Mass Ion Calculations'!$D$5,('Mass Ion Calculations'!$F$18+'AA Exact Masses'!$Q$2+'AA Exact Masses'!$Q$2-'Mass Ion Calculations'!$E$23-'Mass Ion Calculations'!$E23)/2-'Mass Ion Calculations'!$D$5),IF('Mass Ion Calculations'!$D$7="Yes", ('Mass Ion Calculations'!$D$15+'AA Exact Masses'!$Q$2+'AA Exact Masses'!$Q$2-'Mass Ion Calculations'!$C$23-'Mass Ion Calculations'!$C23)/2-'Mass Ion Calculations'!$D$5,('Mass Ion Calculations'!$F$15+'AA Exact Masses'!$Q$2+'AA Exact Masses'!$Q$2-'Mass Ion Calculations'!$E$23-'Mass Ion Calculations'!$E23)/2-'Mass Ion Calculations'!$D$5)))</f>
        <v>#VALUE!</v>
      </c>
      <c r="V22" s="3" t="str">
        <f>IF(OR($B22="",V$3=""),"",IF('Mass Ion Calculations'!$D$6="Yes",IF('Mass Ion Calculations'!$D$7="Yes",('Mass Ion Calculations'!$D$18+'AA Exact Masses'!$Q$2+'AA Exact Masses'!$Q$2-'Mass Ion Calculations'!$C$24-'Mass Ion Calculations'!$C23)/2-'Mass Ion Calculations'!$D$5,('Mass Ion Calculations'!$F$18+'AA Exact Masses'!$Q$2+'AA Exact Masses'!$Q$2-'Mass Ion Calculations'!$E$24-'Mass Ion Calculations'!$E23)/2-'Mass Ion Calculations'!$D$5),IF('Mass Ion Calculations'!$D$7="Yes", ('Mass Ion Calculations'!$D$15+'AA Exact Masses'!$Q$2+'AA Exact Masses'!$Q$2-'Mass Ion Calculations'!$C$24-'Mass Ion Calculations'!$C23)/2-'Mass Ion Calculations'!$D$5,('Mass Ion Calculations'!$F$15+'AA Exact Masses'!$Q$2+'AA Exact Masses'!$Q$2-'Mass Ion Calculations'!$E$24-'Mass Ion Calculations'!$E23)/2-'Mass Ion Calculations'!$D$5)))</f>
        <v/>
      </c>
      <c r="W22" s="3" t="str">
        <f>IF(OR($B22="",W$3=""),"",IF('Mass Ion Calculations'!$D$6="Yes",IF('Mass Ion Calculations'!$D$7="Yes",('Mass Ion Calculations'!$D$18+'AA Exact Masses'!$Q$2+'AA Exact Masses'!$Q$2-'Mass Ion Calculations'!$C$25-'Mass Ion Calculations'!$C23)/2-'Mass Ion Calculations'!$D$5,('Mass Ion Calculations'!$F$18+'AA Exact Masses'!$Q$2+'AA Exact Masses'!$Q$2-'Mass Ion Calculations'!$E$25-'Mass Ion Calculations'!$E23)/2-'Mass Ion Calculations'!$D$5),IF('Mass Ion Calculations'!$D$7="Yes", ('Mass Ion Calculations'!$D$15+'AA Exact Masses'!$Q$2+'AA Exact Masses'!$Q$2-'Mass Ion Calculations'!$C$25-'Mass Ion Calculations'!$C23)/2-'Mass Ion Calculations'!$D$5,('Mass Ion Calculations'!$F$15+'AA Exact Masses'!$Q$2+'AA Exact Masses'!$Q$2-'Mass Ion Calculations'!$E$25-'Mass Ion Calculations'!$E23)/2-'Mass Ion Calculations'!$D$5)))</f>
        <v/>
      </c>
      <c r="X22" s="3" t="str">
        <f>IF(OR($B22="",X$3=""),"",IF('Mass Ion Calculations'!$D$6="Yes",IF('Mass Ion Calculations'!$D$7="Yes",('Mass Ion Calculations'!$D$18+'AA Exact Masses'!$Q$2+'AA Exact Masses'!$Q$2-'Mass Ion Calculations'!$C$26-'Mass Ion Calculations'!$C23)/2-'Mass Ion Calculations'!$D$5,('Mass Ion Calculations'!$F$18+'AA Exact Masses'!$Q$2+'AA Exact Masses'!$Q$2-'Mass Ion Calculations'!$E$26-'Mass Ion Calculations'!$E23)/2-'Mass Ion Calculations'!$D$5),IF('Mass Ion Calculations'!$D$7="Yes", ('Mass Ion Calculations'!$D$15+'AA Exact Masses'!$Q$2+'AA Exact Masses'!$Q$2-'Mass Ion Calculations'!$C$26-'Mass Ion Calculations'!$C23)/2-'Mass Ion Calculations'!$D$5,('Mass Ion Calculations'!$F$15+'AA Exact Masses'!$Q$2+'AA Exact Masses'!$Q$2-'Mass Ion Calculations'!$E$26-'Mass Ion Calculations'!$E23)/2-'Mass Ion Calculations'!$D$5)))</f>
        <v/>
      </c>
      <c r="Y22" s="3" t="str">
        <f>IF(OR($B22="",Y$3=""),"",IF('Mass Ion Calculations'!$D$6="Yes",IF('Mass Ion Calculations'!$D$7="Yes",('Mass Ion Calculations'!$D$18+'AA Exact Masses'!$Q$2+'AA Exact Masses'!$Q$2-'Mass Ion Calculations'!$C$27-'Mass Ion Calculations'!$C23)/2-'Mass Ion Calculations'!$D$5,('Mass Ion Calculations'!$F$18+'AA Exact Masses'!$Q$2+'AA Exact Masses'!$Q$2-'Mass Ion Calculations'!$E$27-'Mass Ion Calculations'!$E23)/2-'Mass Ion Calculations'!$D$5),IF('Mass Ion Calculations'!$D$7="Yes", ('Mass Ion Calculations'!$D$15+'AA Exact Masses'!$Q$2+'AA Exact Masses'!$Q$2-'Mass Ion Calculations'!$C$27-'Mass Ion Calculations'!$C23)/2-'Mass Ion Calculations'!$D$5,('Mass Ion Calculations'!$F$15+'AA Exact Masses'!$Q$2+'AA Exact Masses'!$Q$2-'Mass Ion Calculations'!$E$27-'Mass Ion Calculations'!$E23)/2-'Mass Ion Calculations'!$D$5)))</f>
        <v/>
      </c>
      <c r="Z22" s="3" t="str">
        <f>IF(OR($B22="",Z$3=""),"",IF('Mass Ion Calculations'!$D$6="Yes",IF('Mass Ion Calculations'!$D$7="Yes",('Mass Ion Calculations'!$D$18+'AA Exact Masses'!$Q$2+'AA Exact Masses'!$Q$2-'Mass Ion Calculations'!$C$28-'Mass Ion Calculations'!$C23)/2-'Mass Ion Calculations'!$D$5,('Mass Ion Calculations'!$F$18+'AA Exact Masses'!$Q$2+'AA Exact Masses'!$Q$2-'Mass Ion Calculations'!$E$28-'Mass Ion Calculations'!$E23)/2-'Mass Ion Calculations'!$D$5),IF('Mass Ion Calculations'!$D$7="Yes", ('Mass Ion Calculations'!$D$15+'AA Exact Masses'!$Q$2+'AA Exact Masses'!$Q$2-'Mass Ion Calculations'!$C$28-'Mass Ion Calculations'!$C23)/2-'Mass Ion Calculations'!$D$5,('Mass Ion Calculations'!$F$15+'AA Exact Masses'!$Q$2+'AA Exact Masses'!$Q$2-'Mass Ion Calculations'!$E$28-'Mass Ion Calculations'!$E23)/2-'Mass Ion Calculations'!$D$5)))</f>
        <v/>
      </c>
    </row>
    <row r="23" spans="2:26" x14ac:dyDescent="0.25">
      <c r="B23" s="4" t="str">
        <f>IF('Mass Ion Calculations'!B24="","", 'Mass Ion Calculations'!B24)</f>
        <v/>
      </c>
      <c r="C23" s="3" t="str">
        <f>IF(OR($B23="",C$3=""),"",IF('Mass Ion Calculations'!$D$6="Yes",IF('Mass Ion Calculations'!$D$7="Yes",('Mass Ion Calculations'!$D$18+'AA Exact Masses'!$Q$2+'AA Exact Masses'!$Q$2-'Mass Ion Calculations'!$C$5-'Mass Ion Calculations'!$C24)/2-'Mass Ion Calculations'!$D$5,('Mass Ion Calculations'!$F$18+'AA Exact Masses'!$Q$2+'AA Exact Masses'!$Q$2-'Mass Ion Calculations'!$E$5-'Mass Ion Calculations'!$E24)/2-'Mass Ion Calculations'!$D$5),IF('Mass Ion Calculations'!$D$7="Yes", ('Mass Ion Calculations'!$D$15+'AA Exact Masses'!$Q$2+'AA Exact Masses'!$Q$2-'Mass Ion Calculations'!$C$5-'Mass Ion Calculations'!$C24)/2-'Mass Ion Calculations'!$D$5,('Mass Ion Calculations'!$F$15+'AA Exact Masses'!$Q$2+'AA Exact Masses'!$Q$2-'Mass Ion Calculations'!$E$5-'Mass Ion Calculations'!$E24)/2-'Mass Ion Calculations'!$D$5)))</f>
        <v/>
      </c>
      <c r="D23" s="3" t="str">
        <f>IF(OR($B23="",D$3=""),"",IF('Mass Ion Calculations'!$D$6="Yes",IF('Mass Ion Calculations'!$D$7="Yes",('Mass Ion Calculations'!$D$18+'AA Exact Masses'!$Q$2+'AA Exact Masses'!$Q$2-'Mass Ion Calculations'!$C$6-'Mass Ion Calculations'!$C24)/2-'Mass Ion Calculations'!$D$5,('Mass Ion Calculations'!$F$18+'AA Exact Masses'!$Q$2+'AA Exact Masses'!$Q$2-'Mass Ion Calculations'!$E$6-'Mass Ion Calculations'!$E24)/2-'Mass Ion Calculations'!$D$5),IF('Mass Ion Calculations'!$D$7="Yes", ('Mass Ion Calculations'!$D$15+'AA Exact Masses'!$Q$2+'AA Exact Masses'!$Q$2-'Mass Ion Calculations'!$C$6-'Mass Ion Calculations'!$C24)/2-'Mass Ion Calculations'!$D$5,('Mass Ion Calculations'!$F$15+'AA Exact Masses'!$Q$2+'AA Exact Masses'!$Q$2-'Mass Ion Calculations'!$E$6-'Mass Ion Calculations'!$E24)/2-'Mass Ion Calculations'!$D$5)))</f>
        <v/>
      </c>
      <c r="E23" s="3" t="str">
        <f>IF(OR($B23="",E$3=""),"",IF('Mass Ion Calculations'!$D$6="Yes",IF('Mass Ion Calculations'!$D$7="Yes",('Mass Ion Calculations'!$D$18+'AA Exact Masses'!$Q$2+'AA Exact Masses'!$Q$2-'Mass Ion Calculations'!$C$7-'Mass Ion Calculations'!$C24)/2-'Mass Ion Calculations'!$D$5,('Mass Ion Calculations'!$F$18+'AA Exact Masses'!$Q$2+'AA Exact Masses'!$Q$2-'Mass Ion Calculations'!$E$7-'Mass Ion Calculations'!$E24)/2-'Mass Ion Calculations'!$D$5),IF('Mass Ion Calculations'!$D$7="Yes", ('Mass Ion Calculations'!$D$15+'AA Exact Masses'!$Q$2+'AA Exact Masses'!$Q$2-'Mass Ion Calculations'!$C$7-'Mass Ion Calculations'!$C24)/2-'Mass Ion Calculations'!$D$5,('Mass Ion Calculations'!$F$15+'AA Exact Masses'!$Q$2+'AA Exact Masses'!$Q$2-'Mass Ion Calculations'!$E$7-'Mass Ion Calculations'!$E24)/2-'Mass Ion Calculations'!$D$5)))</f>
        <v/>
      </c>
      <c r="F23" s="3" t="str">
        <f>IF(OR($B23="",F$3=""),"",IF('Mass Ion Calculations'!$D$6="Yes",IF('Mass Ion Calculations'!$D$7="Yes",('Mass Ion Calculations'!$D$18+'AA Exact Masses'!$Q$2+'AA Exact Masses'!$Q$2-'Mass Ion Calculations'!$C$8-'Mass Ion Calculations'!$C24)/2-'Mass Ion Calculations'!$D$5,('Mass Ion Calculations'!$F$18+'AA Exact Masses'!$Q$2+'AA Exact Masses'!$Q$2-'Mass Ion Calculations'!$E$8-'Mass Ion Calculations'!$E24)/2-'Mass Ion Calculations'!$D$5),IF('Mass Ion Calculations'!$D$7="Yes", ('Mass Ion Calculations'!$D$15+'AA Exact Masses'!$Q$2+'AA Exact Masses'!$Q$2-'Mass Ion Calculations'!$C$8-'Mass Ion Calculations'!$C24)/2-'Mass Ion Calculations'!$D$5,('Mass Ion Calculations'!$F$15+'AA Exact Masses'!$Q$2+'AA Exact Masses'!$Q$2-'Mass Ion Calculations'!$E$8-'Mass Ion Calculations'!$E24)/2-'Mass Ion Calculations'!$D$5)))</f>
        <v/>
      </c>
      <c r="G23" s="3" t="str">
        <f>IF(OR($B23="",G$3=""),"",IF('Mass Ion Calculations'!$D$6="Yes",IF('Mass Ion Calculations'!$D$7="Yes",('Mass Ion Calculations'!$D$18+'AA Exact Masses'!$Q$2+'AA Exact Masses'!$Q$2-'Mass Ion Calculations'!$C$9-'Mass Ion Calculations'!$C24)/2-'Mass Ion Calculations'!$D$5,('Mass Ion Calculations'!$F$18+'AA Exact Masses'!$Q$2+'AA Exact Masses'!$Q$2-'Mass Ion Calculations'!$E$9-'Mass Ion Calculations'!$E24)/2-'Mass Ion Calculations'!$D$5),IF('Mass Ion Calculations'!$D$7="Yes", ('Mass Ion Calculations'!$D$15+'AA Exact Masses'!$Q$2+'AA Exact Masses'!$Q$2-'Mass Ion Calculations'!$C$9-'Mass Ion Calculations'!$C24)/2-'Mass Ion Calculations'!$D$5,('Mass Ion Calculations'!$F$15+'AA Exact Masses'!$Q$2+'AA Exact Masses'!$Q$2-'Mass Ion Calculations'!$E$9-'Mass Ion Calculations'!$E24)/2-'Mass Ion Calculations'!$D$5)))</f>
        <v/>
      </c>
      <c r="H23" s="3" t="str">
        <f>IF(OR($B23="",H$3=""),"",IF('Mass Ion Calculations'!$D$6="Yes",IF('Mass Ion Calculations'!$D$7="Yes",('Mass Ion Calculations'!$D$18+'AA Exact Masses'!$Q$2+'AA Exact Masses'!$Q$2-'Mass Ion Calculations'!$C$10-'Mass Ion Calculations'!$C24)/2-'Mass Ion Calculations'!$D$5,('Mass Ion Calculations'!$F$18+'AA Exact Masses'!$Q$2+'AA Exact Masses'!$Q$2-'Mass Ion Calculations'!$E$10-'Mass Ion Calculations'!$E24)/2-'Mass Ion Calculations'!$D$5),IF('Mass Ion Calculations'!$D$7="Yes", ('Mass Ion Calculations'!$D$15+'AA Exact Masses'!$Q$2+'AA Exact Masses'!$Q$2-'Mass Ion Calculations'!$C$10-'Mass Ion Calculations'!$C24)/2-'Mass Ion Calculations'!$D$5,('Mass Ion Calculations'!$F$15+'AA Exact Masses'!$Q$2+'AA Exact Masses'!$Q$2-'Mass Ion Calculations'!$E$10-'Mass Ion Calculations'!$E24)/2-'Mass Ion Calculations'!$D$5)))</f>
        <v/>
      </c>
      <c r="I23" s="3" t="str">
        <f>IF(OR($B23="",I$3=""),"",IF('Mass Ion Calculations'!$D$6="Yes",IF('Mass Ion Calculations'!$D$7="Yes",('Mass Ion Calculations'!$D$18+'AA Exact Masses'!$Q$2+'AA Exact Masses'!$Q$2-'Mass Ion Calculations'!$C$11-'Mass Ion Calculations'!$C24)/2-'Mass Ion Calculations'!$D$5,('Mass Ion Calculations'!$F$18+'AA Exact Masses'!$Q$2+'AA Exact Masses'!$Q$2-'Mass Ion Calculations'!$E$11-'Mass Ion Calculations'!$E24)/2-'Mass Ion Calculations'!$D$5),IF('Mass Ion Calculations'!$D$7="Yes", ('Mass Ion Calculations'!$D$15+'AA Exact Masses'!$Q$2+'AA Exact Masses'!$Q$2-'Mass Ion Calculations'!$C$11-'Mass Ion Calculations'!$C24)/2-'Mass Ion Calculations'!$D$5,('Mass Ion Calculations'!$F$15+'AA Exact Masses'!$Q$2+'AA Exact Masses'!$Q$2-'Mass Ion Calculations'!$E$11-'Mass Ion Calculations'!$E24)/2-'Mass Ion Calculations'!$D$5)))</f>
        <v/>
      </c>
      <c r="J23" s="3" t="str">
        <f>IF(OR($B23="",J$3=""),"",IF('Mass Ion Calculations'!$D$6="Yes",IF('Mass Ion Calculations'!$D$7="Yes",('Mass Ion Calculations'!$D$18+'AA Exact Masses'!$Q$2+'AA Exact Masses'!$Q$2-'Mass Ion Calculations'!$C$12-'Mass Ion Calculations'!$C24)/2-'Mass Ion Calculations'!$D$5,('Mass Ion Calculations'!$F$18+'AA Exact Masses'!$Q$2+'AA Exact Masses'!$Q$2-'Mass Ion Calculations'!$E$12-'Mass Ion Calculations'!$E24)/2-'Mass Ion Calculations'!$D$5),IF('Mass Ion Calculations'!$D$7="Yes", ('Mass Ion Calculations'!$D$15+'AA Exact Masses'!$Q$2+'AA Exact Masses'!$Q$2-'Mass Ion Calculations'!$C$12-'Mass Ion Calculations'!$C24)/2-'Mass Ion Calculations'!$D$5,('Mass Ion Calculations'!$F$15+'AA Exact Masses'!$Q$2+'AA Exact Masses'!$Q$2-'Mass Ion Calculations'!$E$12-'Mass Ion Calculations'!$E24)/2-'Mass Ion Calculations'!$D$5)))</f>
        <v/>
      </c>
      <c r="K23" s="3" t="str">
        <f>IF(OR($B23="",K$3=""),"",IF('Mass Ion Calculations'!$D$6="Yes",IF('Mass Ion Calculations'!$D$7="Yes",('Mass Ion Calculations'!$D$18+'AA Exact Masses'!$Q$2+'AA Exact Masses'!$Q$2-'Mass Ion Calculations'!$C$13-'Mass Ion Calculations'!$C24)/2-'Mass Ion Calculations'!$D$5,('Mass Ion Calculations'!$F$18+'AA Exact Masses'!$Q$2+'AA Exact Masses'!$Q$2-'Mass Ion Calculations'!$E$13-'Mass Ion Calculations'!$E24)/2-'Mass Ion Calculations'!$D$5),IF('Mass Ion Calculations'!$D$7="Yes", ('Mass Ion Calculations'!$D$15+'AA Exact Masses'!$Q$2+'AA Exact Masses'!$Q$2-'Mass Ion Calculations'!$C$13-'Mass Ion Calculations'!$C24)/2-'Mass Ion Calculations'!$D$5,('Mass Ion Calculations'!$F$15+'AA Exact Masses'!$Q$2+'AA Exact Masses'!$Q$2-'Mass Ion Calculations'!$E$13-'Mass Ion Calculations'!$E24)/2-'Mass Ion Calculations'!$D$5)))</f>
        <v/>
      </c>
      <c r="L23" s="3" t="str">
        <f>IF(OR($B23="",L$3=""),"",IF('Mass Ion Calculations'!$D$6="Yes",IF('Mass Ion Calculations'!$D$7="Yes",('Mass Ion Calculations'!$D$18+'AA Exact Masses'!$Q$2+'AA Exact Masses'!$Q$2-'Mass Ion Calculations'!$C$14-'Mass Ion Calculations'!$C24)/2-'Mass Ion Calculations'!$D$5,('Mass Ion Calculations'!$F$18+'AA Exact Masses'!$Q$2+'AA Exact Masses'!$Q$2-'Mass Ion Calculations'!$E$14-'Mass Ion Calculations'!$E24)/2-'Mass Ion Calculations'!$D$5),IF('Mass Ion Calculations'!$D$7="Yes", ('Mass Ion Calculations'!$D$15+'AA Exact Masses'!$Q$2+'AA Exact Masses'!$Q$2-'Mass Ion Calculations'!$C$14-'Mass Ion Calculations'!$C24)/2-'Mass Ion Calculations'!$D$5,('Mass Ion Calculations'!$F$15+'AA Exact Masses'!$Q$2+'AA Exact Masses'!$Q$2-'Mass Ion Calculations'!$E$14-'Mass Ion Calculations'!$E24)/2-'Mass Ion Calculations'!$D$5)))</f>
        <v/>
      </c>
      <c r="M23" s="3" t="str">
        <f>IF(OR($B23="",M$3=""),"",IF('Mass Ion Calculations'!$D$6="Yes",IF('Mass Ion Calculations'!$D$7="Yes",('Mass Ion Calculations'!$D$18+'AA Exact Masses'!$Q$2+'AA Exact Masses'!$Q$2-'Mass Ion Calculations'!$C$15-'Mass Ion Calculations'!$C24)/2-'Mass Ion Calculations'!$D$5,('Mass Ion Calculations'!$F$18+'AA Exact Masses'!$Q$2+'AA Exact Masses'!$Q$2-'Mass Ion Calculations'!$E$15-'Mass Ion Calculations'!$E24)/2-'Mass Ion Calculations'!$D$5),IF('Mass Ion Calculations'!$D$7="Yes", ('Mass Ion Calculations'!$D$15+'AA Exact Masses'!$Q$2+'AA Exact Masses'!$Q$2-'Mass Ion Calculations'!$C$15-'Mass Ion Calculations'!$C24)/2-'Mass Ion Calculations'!$D$5,('Mass Ion Calculations'!$F$15+'AA Exact Masses'!$Q$2+'AA Exact Masses'!$Q$2-'Mass Ion Calculations'!$E$15-'Mass Ion Calculations'!$E24)/2-'Mass Ion Calculations'!$D$5)))</f>
        <v/>
      </c>
      <c r="N23" s="3" t="str">
        <f>IF(OR($B23="",N$3=""),"",IF('Mass Ion Calculations'!$D$6="Yes",IF('Mass Ion Calculations'!$D$7="Yes",('Mass Ion Calculations'!$D$18+'AA Exact Masses'!$Q$2+'AA Exact Masses'!$Q$2-'Mass Ion Calculations'!$C$16-'Mass Ion Calculations'!$C24)/2-'Mass Ion Calculations'!$D$5,('Mass Ion Calculations'!$F$18+'AA Exact Masses'!$Q$2+'AA Exact Masses'!$Q$2-'Mass Ion Calculations'!$E$16-'Mass Ion Calculations'!$E24)/2-'Mass Ion Calculations'!$D$5),IF('Mass Ion Calculations'!$D$7="Yes", ('Mass Ion Calculations'!$D$15+'AA Exact Masses'!$Q$2+'AA Exact Masses'!$Q$2-'Mass Ion Calculations'!$C$16-'Mass Ion Calculations'!$C24)/2-'Mass Ion Calculations'!$D$5,('Mass Ion Calculations'!$F$15+'AA Exact Masses'!$Q$2+'AA Exact Masses'!$Q$2-'Mass Ion Calculations'!$E$16-'Mass Ion Calculations'!$E24)/2-'Mass Ion Calculations'!$D$5)))</f>
        <v/>
      </c>
      <c r="O23" s="3" t="str">
        <f>IF(OR($B23="",O$3=""),"",IF('Mass Ion Calculations'!$D$6="Yes",IF('Mass Ion Calculations'!$D$7="Yes",('Mass Ion Calculations'!$D$18+'AA Exact Masses'!$Q$2+'AA Exact Masses'!$Q$2-'Mass Ion Calculations'!$C$17-'Mass Ion Calculations'!$C24)/2-'Mass Ion Calculations'!$D$5,('Mass Ion Calculations'!$F$18+'AA Exact Masses'!$Q$2+'AA Exact Masses'!$Q$2-'Mass Ion Calculations'!$E$17-'Mass Ion Calculations'!$E24)/2-'Mass Ion Calculations'!$D$5),IF('Mass Ion Calculations'!$D$7="Yes", ('Mass Ion Calculations'!$D$15+'AA Exact Masses'!$Q$2+'AA Exact Masses'!$Q$2-'Mass Ion Calculations'!$C$17-'Mass Ion Calculations'!$C24)/2-'Mass Ion Calculations'!$D$5,('Mass Ion Calculations'!$F$15+'AA Exact Masses'!$Q$2+'AA Exact Masses'!$Q$2-'Mass Ion Calculations'!$E$17-'Mass Ion Calculations'!$E24)/2-'Mass Ion Calculations'!$D$5)))</f>
        <v/>
      </c>
      <c r="P23" s="3" t="str">
        <f>IF(OR($B23="",P$3=""),"",IF('Mass Ion Calculations'!$D$6="Yes",IF('Mass Ion Calculations'!$D$7="Yes",('Mass Ion Calculations'!$D$18+'AA Exact Masses'!$Q$2+'AA Exact Masses'!$Q$2-'Mass Ion Calculations'!$C$18-'Mass Ion Calculations'!$C24)/2-'Mass Ion Calculations'!$D$5,('Mass Ion Calculations'!$F$18+'AA Exact Masses'!$Q$2+'AA Exact Masses'!$Q$2-'Mass Ion Calculations'!$E$18-'Mass Ion Calculations'!$E24)/2-'Mass Ion Calculations'!$D$5),IF('Mass Ion Calculations'!$D$7="Yes", ('Mass Ion Calculations'!$D$15+'AA Exact Masses'!$Q$2+'AA Exact Masses'!$Q$2-'Mass Ion Calculations'!$C$18-'Mass Ion Calculations'!$C24)/2-'Mass Ion Calculations'!$D$5,('Mass Ion Calculations'!$F$15+'AA Exact Masses'!$Q$2+'AA Exact Masses'!$Q$2-'Mass Ion Calculations'!$E$18-'Mass Ion Calculations'!$E24)/2-'Mass Ion Calculations'!$D$5)))</f>
        <v/>
      </c>
      <c r="Q23" s="3" t="str">
        <f>IF(OR($B23="",Q$3=""),"",IF('Mass Ion Calculations'!$D$6="Yes",IF('Mass Ion Calculations'!$D$7="Yes",('Mass Ion Calculations'!$D$18+'AA Exact Masses'!$Q$2+'AA Exact Masses'!$Q$2-'Mass Ion Calculations'!$C$19-'Mass Ion Calculations'!$C24)/2-'Mass Ion Calculations'!$D$5,('Mass Ion Calculations'!$F$18+'AA Exact Masses'!$Q$2+'AA Exact Masses'!$Q$2-'Mass Ion Calculations'!$E$19-'Mass Ion Calculations'!$E24)/2-'Mass Ion Calculations'!$D$5),IF('Mass Ion Calculations'!$D$7="Yes", ('Mass Ion Calculations'!$D$15+'AA Exact Masses'!$Q$2+'AA Exact Masses'!$Q$2-'Mass Ion Calculations'!$C$19-'Mass Ion Calculations'!$C24)/2-'Mass Ion Calculations'!$D$5,('Mass Ion Calculations'!$F$15+'AA Exact Masses'!$Q$2+'AA Exact Masses'!$Q$2-'Mass Ion Calculations'!$E$19-'Mass Ion Calculations'!$E24)/2-'Mass Ion Calculations'!$D$5)))</f>
        <v/>
      </c>
      <c r="R23" s="3" t="str">
        <f>IF(OR($B23="",R$3=""),"",IF('Mass Ion Calculations'!$D$6="Yes",IF('Mass Ion Calculations'!$D$7="Yes",('Mass Ion Calculations'!$D$18+'AA Exact Masses'!$Q$2+'AA Exact Masses'!$Q$2-'Mass Ion Calculations'!$C$20-'Mass Ion Calculations'!$C24)/2-'Mass Ion Calculations'!$D$5,('Mass Ion Calculations'!$F$18+'AA Exact Masses'!$Q$2+'AA Exact Masses'!$Q$2-'Mass Ion Calculations'!$E$20-'Mass Ion Calculations'!$E24)/2-'Mass Ion Calculations'!$D$5),IF('Mass Ion Calculations'!$D$7="Yes", ('Mass Ion Calculations'!$D$15+'AA Exact Masses'!$Q$2+'AA Exact Masses'!$Q$2-'Mass Ion Calculations'!$C$20-'Mass Ion Calculations'!$C24)/2-'Mass Ion Calculations'!$D$5,('Mass Ion Calculations'!$F$15+'AA Exact Masses'!$Q$2+'AA Exact Masses'!$Q$2-'Mass Ion Calculations'!$E$20-'Mass Ion Calculations'!$E24)/2-'Mass Ion Calculations'!$D$5)))</f>
        <v/>
      </c>
      <c r="S23" s="3" t="str">
        <f>IF(OR($B23="",S$3=""),"",IF('Mass Ion Calculations'!$D$6="Yes",IF('Mass Ion Calculations'!$D$7="Yes",('Mass Ion Calculations'!$D$18+'AA Exact Masses'!$Q$2+'AA Exact Masses'!$Q$2-'Mass Ion Calculations'!$C$21-'Mass Ion Calculations'!$C24)/2-'Mass Ion Calculations'!$D$5,('Mass Ion Calculations'!$F$18+'AA Exact Masses'!$Q$2+'AA Exact Masses'!$Q$2-'Mass Ion Calculations'!$E$21-'Mass Ion Calculations'!$E24)/2-'Mass Ion Calculations'!$D$5),IF('Mass Ion Calculations'!$D$7="Yes", ('Mass Ion Calculations'!$D$15+'AA Exact Masses'!$Q$2+'AA Exact Masses'!$Q$2-'Mass Ion Calculations'!$C$21-'Mass Ion Calculations'!$C24)/2-'Mass Ion Calculations'!$D$5,('Mass Ion Calculations'!$F$15+'AA Exact Masses'!$Q$2+'AA Exact Masses'!$Q$2-'Mass Ion Calculations'!$E$21-'Mass Ion Calculations'!$E24)/2-'Mass Ion Calculations'!$D$5)))</f>
        <v/>
      </c>
      <c r="T23" s="3" t="str">
        <f>IF(OR($B23="",T$3=""),"",IF('Mass Ion Calculations'!$D$6="Yes",IF('Mass Ion Calculations'!$D$7="Yes",('Mass Ion Calculations'!$D$18+'AA Exact Masses'!$Q$2+'AA Exact Masses'!$Q$2-'Mass Ion Calculations'!$C$22-'Mass Ion Calculations'!$C24)/2-'Mass Ion Calculations'!$D$5,('Mass Ion Calculations'!$F$18+'AA Exact Masses'!$Q$2+'AA Exact Masses'!$Q$2-'Mass Ion Calculations'!$E$22-'Mass Ion Calculations'!$E24)/2-'Mass Ion Calculations'!$D$5),IF('Mass Ion Calculations'!$D$7="Yes", ('Mass Ion Calculations'!$D$15+'AA Exact Masses'!$Q$2+'AA Exact Masses'!$Q$2-'Mass Ion Calculations'!$C$22-'Mass Ion Calculations'!$C24)/2-'Mass Ion Calculations'!$D$5,('Mass Ion Calculations'!$F$15+'AA Exact Masses'!$Q$2+'AA Exact Masses'!$Q$2-'Mass Ion Calculations'!$E$22-'Mass Ion Calculations'!$E24)/2-'Mass Ion Calculations'!$D$5)))</f>
        <v/>
      </c>
      <c r="U23" s="3" t="str">
        <f>IF(OR($B23="",U$3=""),"",IF('Mass Ion Calculations'!$D$6="Yes",IF('Mass Ion Calculations'!$D$7="Yes",('Mass Ion Calculations'!$D$18+'AA Exact Masses'!$Q$2+'AA Exact Masses'!$Q$2-'Mass Ion Calculations'!$C$23-'Mass Ion Calculations'!$C24)/2-'Mass Ion Calculations'!$D$5,('Mass Ion Calculations'!$F$18+'AA Exact Masses'!$Q$2+'AA Exact Masses'!$Q$2-'Mass Ion Calculations'!$E$23-'Mass Ion Calculations'!$E24)/2-'Mass Ion Calculations'!$D$5),IF('Mass Ion Calculations'!$D$7="Yes", ('Mass Ion Calculations'!$D$15+'AA Exact Masses'!$Q$2+'AA Exact Masses'!$Q$2-'Mass Ion Calculations'!$C$23-'Mass Ion Calculations'!$C24)/2-'Mass Ion Calculations'!$D$5,('Mass Ion Calculations'!$F$15+'AA Exact Masses'!$Q$2+'AA Exact Masses'!$Q$2-'Mass Ion Calculations'!$E$23-'Mass Ion Calculations'!$E24)/2-'Mass Ion Calculations'!$D$5)))</f>
        <v/>
      </c>
      <c r="V23" s="3" t="str">
        <f>IF(OR($B23="",V$3=""),"",IF('Mass Ion Calculations'!$D$6="Yes",IF('Mass Ion Calculations'!$D$7="Yes",('Mass Ion Calculations'!$D$18+'AA Exact Masses'!$Q$2+'AA Exact Masses'!$Q$2-'Mass Ion Calculations'!$C$24-'Mass Ion Calculations'!$C24)/2-'Mass Ion Calculations'!$D$5,('Mass Ion Calculations'!$F$18+'AA Exact Masses'!$Q$2+'AA Exact Masses'!$Q$2-'Mass Ion Calculations'!$E$24-'Mass Ion Calculations'!$E24)/2-'Mass Ion Calculations'!$D$5),IF('Mass Ion Calculations'!$D$7="Yes", ('Mass Ion Calculations'!$D$15+'AA Exact Masses'!$Q$2+'AA Exact Masses'!$Q$2-'Mass Ion Calculations'!$C$24-'Mass Ion Calculations'!$C24)/2-'Mass Ion Calculations'!$D$5,('Mass Ion Calculations'!$F$15+'AA Exact Masses'!$Q$2+'AA Exact Masses'!$Q$2-'Mass Ion Calculations'!$E$24-'Mass Ion Calculations'!$E24)/2-'Mass Ion Calculations'!$D$5)))</f>
        <v/>
      </c>
      <c r="W23" s="3" t="str">
        <f>IF(OR($B23="",W$3=""),"",IF('Mass Ion Calculations'!$D$6="Yes",IF('Mass Ion Calculations'!$D$7="Yes",('Mass Ion Calculations'!$D$18+'AA Exact Masses'!$Q$2+'AA Exact Masses'!$Q$2-'Mass Ion Calculations'!$C$25-'Mass Ion Calculations'!$C24)/2-'Mass Ion Calculations'!$D$5,('Mass Ion Calculations'!$F$18+'AA Exact Masses'!$Q$2+'AA Exact Masses'!$Q$2-'Mass Ion Calculations'!$E$25-'Mass Ion Calculations'!$E24)/2-'Mass Ion Calculations'!$D$5),IF('Mass Ion Calculations'!$D$7="Yes", ('Mass Ion Calculations'!$D$15+'AA Exact Masses'!$Q$2+'AA Exact Masses'!$Q$2-'Mass Ion Calculations'!$C$25-'Mass Ion Calculations'!$C24)/2-'Mass Ion Calculations'!$D$5,('Mass Ion Calculations'!$F$15+'AA Exact Masses'!$Q$2+'AA Exact Masses'!$Q$2-'Mass Ion Calculations'!$E$25-'Mass Ion Calculations'!$E24)/2-'Mass Ion Calculations'!$D$5)))</f>
        <v/>
      </c>
      <c r="X23" s="3" t="str">
        <f>IF(OR($B23="",X$3=""),"",IF('Mass Ion Calculations'!$D$6="Yes",IF('Mass Ion Calculations'!$D$7="Yes",('Mass Ion Calculations'!$D$18+'AA Exact Masses'!$Q$2+'AA Exact Masses'!$Q$2-'Mass Ion Calculations'!$C$26-'Mass Ion Calculations'!$C24)/2-'Mass Ion Calculations'!$D$5,('Mass Ion Calculations'!$F$18+'AA Exact Masses'!$Q$2+'AA Exact Masses'!$Q$2-'Mass Ion Calculations'!$E$26-'Mass Ion Calculations'!$E24)/2-'Mass Ion Calculations'!$D$5),IF('Mass Ion Calculations'!$D$7="Yes", ('Mass Ion Calculations'!$D$15+'AA Exact Masses'!$Q$2+'AA Exact Masses'!$Q$2-'Mass Ion Calculations'!$C$26-'Mass Ion Calculations'!$C24)/2-'Mass Ion Calculations'!$D$5,('Mass Ion Calculations'!$F$15+'AA Exact Masses'!$Q$2+'AA Exact Masses'!$Q$2-'Mass Ion Calculations'!$E$26-'Mass Ion Calculations'!$E24)/2-'Mass Ion Calculations'!$D$5)))</f>
        <v/>
      </c>
      <c r="Y23" s="3" t="str">
        <f>IF(OR($B23="",Y$3=""),"",IF('Mass Ion Calculations'!$D$6="Yes",IF('Mass Ion Calculations'!$D$7="Yes",('Mass Ion Calculations'!$D$18+'AA Exact Masses'!$Q$2+'AA Exact Masses'!$Q$2-'Mass Ion Calculations'!$C$27-'Mass Ion Calculations'!$C24)/2-'Mass Ion Calculations'!$D$5,('Mass Ion Calculations'!$F$18+'AA Exact Masses'!$Q$2+'AA Exact Masses'!$Q$2-'Mass Ion Calculations'!$E$27-'Mass Ion Calculations'!$E24)/2-'Mass Ion Calculations'!$D$5),IF('Mass Ion Calculations'!$D$7="Yes", ('Mass Ion Calculations'!$D$15+'AA Exact Masses'!$Q$2+'AA Exact Masses'!$Q$2-'Mass Ion Calculations'!$C$27-'Mass Ion Calculations'!$C24)/2-'Mass Ion Calculations'!$D$5,('Mass Ion Calculations'!$F$15+'AA Exact Masses'!$Q$2+'AA Exact Masses'!$Q$2-'Mass Ion Calculations'!$E$27-'Mass Ion Calculations'!$E24)/2-'Mass Ion Calculations'!$D$5)))</f>
        <v/>
      </c>
      <c r="Z23" s="3" t="str">
        <f>IF(OR($B23="",Z$3=""),"",IF('Mass Ion Calculations'!$D$6="Yes",IF('Mass Ion Calculations'!$D$7="Yes",('Mass Ion Calculations'!$D$18+'AA Exact Masses'!$Q$2+'AA Exact Masses'!$Q$2-'Mass Ion Calculations'!$C$28-'Mass Ion Calculations'!$C24)/2-'Mass Ion Calculations'!$D$5,('Mass Ion Calculations'!$F$18+'AA Exact Masses'!$Q$2+'AA Exact Masses'!$Q$2-'Mass Ion Calculations'!$E$28-'Mass Ion Calculations'!$E24)/2-'Mass Ion Calculations'!$D$5),IF('Mass Ion Calculations'!$D$7="Yes", ('Mass Ion Calculations'!$D$15+'AA Exact Masses'!$Q$2+'AA Exact Masses'!$Q$2-'Mass Ion Calculations'!$C$28-'Mass Ion Calculations'!$C24)/2-'Mass Ion Calculations'!$D$5,('Mass Ion Calculations'!$F$15+'AA Exact Masses'!$Q$2+'AA Exact Masses'!$Q$2-'Mass Ion Calculations'!$E$28-'Mass Ion Calculations'!$E24)/2-'Mass Ion Calculations'!$D$5)))</f>
        <v/>
      </c>
    </row>
    <row r="24" spans="2:26" x14ac:dyDescent="0.25">
      <c r="B24" s="4" t="str">
        <f>IF('Mass Ion Calculations'!B25="","", 'Mass Ion Calculations'!B25)</f>
        <v/>
      </c>
      <c r="C24" s="3" t="str">
        <f>IF(OR($B24="",C$3=""),"",IF('Mass Ion Calculations'!$D$6="Yes",IF('Mass Ion Calculations'!$D$7="Yes",('Mass Ion Calculations'!$D$18+'AA Exact Masses'!$Q$2+'AA Exact Masses'!$Q$2-'Mass Ion Calculations'!$C$5-'Mass Ion Calculations'!$C25)/2-'Mass Ion Calculations'!$D$5,('Mass Ion Calculations'!$F$18+'AA Exact Masses'!$Q$2+'AA Exact Masses'!$Q$2-'Mass Ion Calculations'!$E$5-'Mass Ion Calculations'!$E25)/2-'Mass Ion Calculations'!$D$5),IF('Mass Ion Calculations'!$D$7="Yes", ('Mass Ion Calculations'!$D$15+'AA Exact Masses'!$Q$2+'AA Exact Masses'!$Q$2-'Mass Ion Calculations'!$C$5-'Mass Ion Calculations'!$C25)/2-'Mass Ion Calculations'!$D$5,('Mass Ion Calculations'!$F$15+'AA Exact Masses'!$Q$2+'AA Exact Masses'!$Q$2-'Mass Ion Calculations'!$E$5-'Mass Ion Calculations'!$E25)/2-'Mass Ion Calculations'!$D$5)))</f>
        <v/>
      </c>
      <c r="D24" s="3" t="str">
        <f>IF(OR($B24="",D$3=""),"",IF('Mass Ion Calculations'!$D$6="Yes",IF('Mass Ion Calculations'!$D$7="Yes",('Mass Ion Calculations'!$D$18+'AA Exact Masses'!$Q$2+'AA Exact Masses'!$Q$2-'Mass Ion Calculations'!$C$6-'Mass Ion Calculations'!$C25)/2-'Mass Ion Calculations'!$D$5,('Mass Ion Calculations'!$F$18+'AA Exact Masses'!$Q$2+'AA Exact Masses'!$Q$2-'Mass Ion Calculations'!$E$6-'Mass Ion Calculations'!$E25)/2-'Mass Ion Calculations'!$D$5),IF('Mass Ion Calculations'!$D$7="Yes", ('Mass Ion Calculations'!$D$15+'AA Exact Masses'!$Q$2+'AA Exact Masses'!$Q$2-'Mass Ion Calculations'!$C$6-'Mass Ion Calculations'!$C25)/2-'Mass Ion Calculations'!$D$5,('Mass Ion Calculations'!$F$15+'AA Exact Masses'!$Q$2+'AA Exact Masses'!$Q$2-'Mass Ion Calculations'!$E$6-'Mass Ion Calculations'!$E25)/2-'Mass Ion Calculations'!$D$5)))</f>
        <v/>
      </c>
      <c r="E24" s="3" t="str">
        <f>IF(OR($B24="",E$3=""),"",IF('Mass Ion Calculations'!$D$6="Yes",IF('Mass Ion Calculations'!$D$7="Yes",('Mass Ion Calculations'!$D$18+'AA Exact Masses'!$Q$2+'AA Exact Masses'!$Q$2-'Mass Ion Calculations'!$C$7-'Mass Ion Calculations'!$C25)/2-'Mass Ion Calculations'!$D$5,('Mass Ion Calculations'!$F$18+'AA Exact Masses'!$Q$2+'AA Exact Masses'!$Q$2-'Mass Ion Calculations'!$E$7-'Mass Ion Calculations'!$E25)/2-'Mass Ion Calculations'!$D$5),IF('Mass Ion Calculations'!$D$7="Yes", ('Mass Ion Calculations'!$D$15+'AA Exact Masses'!$Q$2+'AA Exact Masses'!$Q$2-'Mass Ion Calculations'!$C$7-'Mass Ion Calculations'!$C25)/2-'Mass Ion Calculations'!$D$5,('Mass Ion Calculations'!$F$15+'AA Exact Masses'!$Q$2+'AA Exact Masses'!$Q$2-'Mass Ion Calculations'!$E$7-'Mass Ion Calculations'!$E25)/2-'Mass Ion Calculations'!$D$5)))</f>
        <v/>
      </c>
      <c r="F24" s="3" t="str">
        <f>IF(OR($B24="",F$3=""),"",IF('Mass Ion Calculations'!$D$6="Yes",IF('Mass Ion Calculations'!$D$7="Yes",('Mass Ion Calculations'!$D$18+'AA Exact Masses'!$Q$2+'AA Exact Masses'!$Q$2-'Mass Ion Calculations'!$C$8-'Mass Ion Calculations'!$C25)/2-'Mass Ion Calculations'!$D$5,('Mass Ion Calculations'!$F$18+'AA Exact Masses'!$Q$2+'AA Exact Masses'!$Q$2-'Mass Ion Calculations'!$E$8-'Mass Ion Calculations'!$E25)/2-'Mass Ion Calculations'!$D$5),IF('Mass Ion Calculations'!$D$7="Yes", ('Mass Ion Calculations'!$D$15+'AA Exact Masses'!$Q$2+'AA Exact Masses'!$Q$2-'Mass Ion Calculations'!$C$8-'Mass Ion Calculations'!$C25)/2-'Mass Ion Calculations'!$D$5,('Mass Ion Calculations'!$F$15+'AA Exact Masses'!$Q$2+'AA Exact Masses'!$Q$2-'Mass Ion Calculations'!$E$8-'Mass Ion Calculations'!$E25)/2-'Mass Ion Calculations'!$D$5)))</f>
        <v/>
      </c>
      <c r="G24" s="3" t="str">
        <f>IF(OR($B24="",G$3=""),"",IF('Mass Ion Calculations'!$D$6="Yes",IF('Mass Ion Calculations'!$D$7="Yes",('Mass Ion Calculations'!$D$18+'AA Exact Masses'!$Q$2+'AA Exact Masses'!$Q$2-'Mass Ion Calculations'!$C$9-'Mass Ion Calculations'!$C25)/2-'Mass Ion Calculations'!$D$5,('Mass Ion Calculations'!$F$18+'AA Exact Masses'!$Q$2+'AA Exact Masses'!$Q$2-'Mass Ion Calculations'!$E$9-'Mass Ion Calculations'!$E25)/2-'Mass Ion Calculations'!$D$5),IF('Mass Ion Calculations'!$D$7="Yes", ('Mass Ion Calculations'!$D$15+'AA Exact Masses'!$Q$2+'AA Exact Masses'!$Q$2-'Mass Ion Calculations'!$C$9-'Mass Ion Calculations'!$C25)/2-'Mass Ion Calculations'!$D$5,('Mass Ion Calculations'!$F$15+'AA Exact Masses'!$Q$2+'AA Exact Masses'!$Q$2-'Mass Ion Calculations'!$E$9-'Mass Ion Calculations'!$E25)/2-'Mass Ion Calculations'!$D$5)))</f>
        <v/>
      </c>
      <c r="H24" s="3" t="str">
        <f>IF(OR($B24="",H$3=""),"",IF('Mass Ion Calculations'!$D$6="Yes",IF('Mass Ion Calculations'!$D$7="Yes",('Mass Ion Calculations'!$D$18+'AA Exact Masses'!$Q$2+'AA Exact Masses'!$Q$2-'Mass Ion Calculations'!$C$10-'Mass Ion Calculations'!$C25)/2-'Mass Ion Calculations'!$D$5,('Mass Ion Calculations'!$F$18+'AA Exact Masses'!$Q$2+'AA Exact Masses'!$Q$2-'Mass Ion Calculations'!$E$10-'Mass Ion Calculations'!$E25)/2-'Mass Ion Calculations'!$D$5),IF('Mass Ion Calculations'!$D$7="Yes", ('Mass Ion Calculations'!$D$15+'AA Exact Masses'!$Q$2+'AA Exact Masses'!$Q$2-'Mass Ion Calculations'!$C$10-'Mass Ion Calculations'!$C25)/2-'Mass Ion Calculations'!$D$5,('Mass Ion Calculations'!$F$15+'AA Exact Masses'!$Q$2+'AA Exact Masses'!$Q$2-'Mass Ion Calculations'!$E$10-'Mass Ion Calculations'!$E25)/2-'Mass Ion Calculations'!$D$5)))</f>
        <v/>
      </c>
      <c r="I24" s="3" t="str">
        <f>IF(OR($B24="",I$3=""),"",IF('Mass Ion Calculations'!$D$6="Yes",IF('Mass Ion Calculations'!$D$7="Yes",('Mass Ion Calculations'!$D$18+'AA Exact Masses'!$Q$2+'AA Exact Masses'!$Q$2-'Mass Ion Calculations'!$C$11-'Mass Ion Calculations'!$C25)/2-'Mass Ion Calculations'!$D$5,('Mass Ion Calculations'!$F$18+'AA Exact Masses'!$Q$2+'AA Exact Masses'!$Q$2-'Mass Ion Calculations'!$E$11-'Mass Ion Calculations'!$E25)/2-'Mass Ion Calculations'!$D$5),IF('Mass Ion Calculations'!$D$7="Yes", ('Mass Ion Calculations'!$D$15+'AA Exact Masses'!$Q$2+'AA Exact Masses'!$Q$2-'Mass Ion Calculations'!$C$11-'Mass Ion Calculations'!$C25)/2-'Mass Ion Calculations'!$D$5,('Mass Ion Calculations'!$F$15+'AA Exact Masses'!$Q$2+'AA Exact Masses'!$Q$2-'Mass Ion Calculations'!$E$11-'Mass Ion Calculations'!$E25)/2-'Mass Ion Calculations'!$D$5)))</f>
        <v/>
      </c>
      <c r="J24" s="3" t="str">
        <f>IF(OR($B24="",J$3=""),"",IF('Mass Ion Calculations'!$D$6="Yes",IF('Mass Ion Calculations'!$D$7="Yes",('Mass Ion Calculations'!$D$18+'AA Exact Masses'!$Q$2+'AA Exact Masses'!$Q$2-'Mass Ion Calculations'!$C$12-'Mass Ion Calculations'!$C25)/2-'Mass Ion Calculations'!$D$5,('Mass Ion Calculations'!$F$18+'AA Exact Masses'!$Q$2+'AA Exact Masses'!$Q$2-'Mass Ion Calculations'!$E$12-'Mass Ion Calculations'!$E25)/2-'Mass Ion Calculations'!$D$5),IF('Mass Ion Calculations'!$D$7="Yes", ('Mass Ion Calculations'!$D$15+'AA Exact Masses'!$Q$2+'AA Exact Masses'!$Q$2-'Mass Ion Calculations'!$C$12-'Mass Ion Calculations'!$C25)/2-'Mass Ion Calculations'!$D$5,('Mass Ion Calculations'!$F$15+'AA Exact Masses'!$Q$2+'AA Exact Masses'!$Q$2-'Mass Ion Calculations'!$E$12-'Mass Ion Calculations'!$E25)/2-'Mass Ion Calculations'!$D$5)))</f>
        <v/>
      </c>
      <c r="K24" s="3" t="str">
        <f>IF(OR($B24="",K$3=""),"",IF('Mass Ion Calculations'!$D$6="Yes",IF('Mass Ion Calculations'!$D$7="Yes",('Mass Ion Calculations'!$D$18+'AA Exact Masses'!$Q$2+'AA Exact Masses'!$Q$2-'Mass Ion Calculations'!$C$13-'Mass Ion Calculations'!$C25)/2-'Mass Ion Calculations'!$D$5,('Mass Ion Calculations'!$F$18+'AA Exact Masses'!$Q$2+'AA Exact Masses'!$Q$2-'Mass Ion Calculations'!$E$13-'Mass Ion Calculations'!$E25)/2-'Mass Ion Calculations'!$D$5),IF('Mass Ion Calculations'!$D$7="Yes", ('Mass Ion Calculations'!$D$15+'AA Exact Masses'!$Q$2+'AA Exact Masses'!$Q$2-'Mass Ion Calculations'!$C$13-'Mass Ion Calculations'!$C25)/2-'Mass Ion Calculations'!$D$5,('Mass Ion Calculations'!$F$15+'AA Exact Masses'!$Q$2+'AA Exact Masses'!$Q$2-'Mass Ion Calculations'!$E$13-'Mass Ion Calculations'!$E25)/2-'Mass Ion Calculations'!$D$5)))</f>
        <v/>
      </c>
      <c r="L24" s="3" t="str">
        <f>IF(OR($B24="",L$3=""),"",IF('Mass Ion Calculations'!$D$6="Yes",IF('Mass Ion Calculations'!$D$7="Yes",('Mass Ion Calculations'!$D$18+'AA Exact Masses'!$Q$2+'AA Exact Masses'!$Q$2-'Mass Ion Calculations'!$C$14-'Mass Ion Calculations'!$C25)/2-'Mass Ion Calculations'!$D$5,('Mass Ion Calculations'!$F$18+'AA Exact Masses'!$Q$2+'AA Exact Masses'!$Q$2-'Mass Ion Calculations'!$E$14-'Mass Ion Calculations'!$E25)/2-'Mass Ion Calculations'!$D$5),IF('Mass Ion Calculations'!$D$7="Yes", ('Mass Ion Calculations'!$D$15+'AA Exact Masses'!$Q$2+'AA Exact Masses'!$Q$2-'Mass Ion Calculations'!$C$14-'Mass Ion Calculations'!$C25)/2-'Mass Ion Calculations'!$D$5,('Mass Ion Calculations'!$F$15+'AA Exact Masses'!$Q$2+'AA Exact Masses'!$Q$2-'Mass Ion Calculations'!$E$14-'Mass Ion Calculations'!$E25)/2-'Mass Ion Calculations'!$D$5)))</f>
        <v/>
      </c>
      <c r="M24" s="3" t="str">
        <f>IF(OR($B24="",M$3=""),"",IF('Mass Ion Calculations'!$D$6="Yes",IF('Mass Ion Calculations'!$D$7="Yes",('Mass Ion Calculations'!$D$18+'AA Exact Masses'!$Q$2+'AA Exact Masses'!$Q$2-'Mass Ion Calculations'!$C$15-'Mass Ion Calculations'!$C25)/2-'Mass Ion Calculations'!$D$5,('Mass Ion Calculations'!$F$18+'AA Exact Masses'!$Q$2+'AA Exact Masses'!$Q$2-'Mass Ion Calculations'!$E$15-'Mass Ion Calculations'!$E25)/2-'Mass Ion Calculations'!$D$5),IF('Mass Ion Calculations'!$D$7="Yes", ('Mass Ion Calculations'!$D$15+'AA Exact Masses'!$Q$2+'AA Exact Masses'!$Q$2-'Mass Ion Calculations'!$C$15-'Mass Ion Calculations'!$C25)/2-'Mass Ion Calculations'!$D$5,('Mass Ion Calculations'!$F$15+'AA Exact Masses'!$Q$2+'AA Exact Masses'!$Q$2-'Mass Ion Calculations'!$E$15-'Mass Ion Calculations'!$E25)/2-'Mass Ion Calculations'!$D$5)))</f>
        <v/>
      </c>
      <c r="N24" s="3" t="str">
        <f>IF(OR($B24="",N$3=""),"",IF('Mass Ion Calculations'!$D$6="Yes",IF('Mass Ion Calculations'!$D$7="Yes",('Mass Ion Calculations'!$D$18+'AA Exact Masses'!$Q$2+'AA Exact Masses'!$Q$2-'Mass Ion Calculations'!$C$16-'Mass Ion Calculations'!$C25)/2-'Mass Ion Calculations'!$D$5,('Mass Ion Calculations'!$F$18+'AA Exact Masses'!$Q$2+'AA Exact Masses'!$Q$2-'Mass Ion Calculations'!$E$16-'Mass Ion Calculations'!$E25)/2-'Mass Ion Calculations'!$D$5),IF('Mass Ion Calculations'!$D$7="Yes", ('Mass Ion Calculations'!$D$15+'AA Exact Masses'!$Q$2+'AA Exact Masses'!$Q$2-'Mass Ion Calculations'!$C$16-'Mass Ion Calculations'!$C25)/2-'Mass Ion Calculations'!$D$5,('Mass Ion Calculations'!$F$15+'AA Exact Masses'!$Q$2+'AA Exact Masses'!$Q$2-'Mass Ion Calculations'!$E$16-'Mass Ion Calculations'!$E25)/2-'Mass Ion Calculations'!$D$5)))</f>
        <v/>
      </c>
      <c r="O24" s="3" t="str">
        <f>IF(OR($B24="",O$3=""),"",IF('Mass Ion Calculations'!$D$6="Yes",IF('Mass Ion Calculations'!$D$7="Yes",('Mass Ion Calculations'!$D$18+'AA Exact Masses'!$Q$2+'AA Exact Masses'!$Q$2-'Mass Ion Calculations'!$C$17-'Mass Ion Calculations'!$C25)/2-'Mass Ion Calculations'!$D$5,('Mass Ion Calculations'!$F$18+'AA Exact Masses'!$Q$2+'AA Exact Masses'!$Q$2-'Mass Ion Calculations'!$E$17-'Mass Ion Calculations'!$E25)/2-'Mass Ion Calculations'!$D$5),IF('Mass Ion Calculations'!$D$7="Yes", ('Mass Ion Calculations'!$D$15+'AA Exact Masses'!$Q$2+'AA Exact Masses'!$Q$2-'Mass Ion Calculations'!$C$17-'Mass Ion Calculations'!$C25)/2-'Mass Ion Calculations'!$D$5,('Mass Ion Calculations'!$F$15+'AA Exact Masses'!$Q$2+'AA Exact Masses'!$Q$2-'Mass Ion Calculations'!$E$17-'Mass Ion Calculations'!$E25)/2-'Mass Ion Calculations'!$D$5)))</f>
        <v/>
      </c>
      <c r="P24" s="3" t="str">
        <f>IF(OR($B24="",P$3=""),"",IF('Mass Ion Calculations'!$D$6="Yes",IF('Mass Ion Calculations'!$D$7="Yes",('Mass Ion Calculations'!$D$18+'AA Exact Masses'!$Q$2+'AA Exact Masses'!$Q$2-'Mass Ion Calculations'!$C$18-'Mass Ion Calculations'!$C25)/2-'Mass Ion Calculations'!$D$5,('Mass Ion Calculations'!$F$18+'AA Exact Masses'!$Q$2+'AA Exact Masses'!$Q$2-'Mass Ion Calculations'!$E$18-'Mass Ion Calculations'!$E25)/2-'Mass Ion Calculations'!$D$5),IF('Mass Ion Calculations'!$D$7="Yes", ('Mass Ion Calculations'!$D$15+'AA Exact Masses'!$Q$2+'AA Exact Masses'!$Q$2-'Mass Ion Calculations'!$C$18-'Mass Ion Calculations'!$C25)/2-'Mass Ion Calculations'!$D$5,('Mass Ion Calculations'!$F$15+'AA Exact Masses'!$Q$2+'AA Exact Masses'!$Q$2-'Mass Ion Calculations'!$E$18-'Mass Ion Calculations'!$E25)/2-'Mass Ion Calculations'!$D$5)))</f>
        <v/>
      </c>
      <c r="Q24" s="3" t="str">
        <f>IF(OR($B24="",Q$3=""),"",IF('Mass Ion Calculations'!$D$6="Yes",IF('Mass Ion Calculations'!$D$7="Yes",('Mass Ion Calculations'!$D$18+'AA Exact Masses'!$Q$2+'AA Exact Masses'!$Q$2-'Mass Ion Calculations'!$C$19-'Mass Ion Calculations'!$C25)/2-'Mass Ion Calculations'!$D$5,('Mass Ion Calculations'!$F$18+'AA Exact Masses'!$Q$2+'AA Exact Masses'!$Q$2-'Mass Ion Calculations'!$E$19-'Mass Ion Calculations'!$E25)/2-'Mass Ion Calculations'!$D$5),IF('Mass Ion Calculations'!$D$7="Yes", ('Mass Ion Calculations'!$D$15+'AA Exact Masses'!$Q$2+'AA Exact Masses'!$Q$2-'Mass Ion Calculations'!$C$19-'Mass Ion Calculations'!$C25)/2-'Mass Ion Calculations'!$D$5,('Mass Ion Calculations'!$F$15+'AA Exact Masses'!$Q$2+'AA Exact Masses'!$Q$2-'Mass Ion Calculations'!$E$19-'Mass Ion Calculations'!$E25)/2-'Mass Ion Calculations'!$D$5)))</f>
        <v/>
      </c>
      <c r="R24" s="3" t="str">
        <f>IF(OR($B24="",R$3=""),"",IF('Mass Ion Calculations'!$D$6="Yes",IF('Mass Ion Calculations'!$D$7="Yes",('Mass Ion Calculations'!$D$18+'AA Exact Masses'!$Q$2+'AA Exact Masses'!$Q$2-'Mass Ion Calculations'!$C$20-'Mass Ion Calculations'!$C25)/2-'Mass Ion Calculations'!$D$5,('Mass Ion Calculations'!$F$18+'AA Exact Masses'!$Q$2+'AA Exact Masses'!$Q$2-'Mass Ion Calculations'!$E$20-'Mass Ion Calculations'!$E25)/2-'Mass Ion Calculations'!$D$5),IF('Mass Ion Calculations'!$D$7="Yes", ('Mass Ion Calculations'!$D$15+'AA Exact Masses'!$Q$2+'AA Exact Masses'!$Q$2-'Mass Ion Calculations'!$C$20-'Mass Ion Calculations'!$C25)/2-'Mass Ion Calculations'!$D$5,('Mass Ion Calculations'!$F$15+'AA Exact Masses'!$Q$2+'AA Exact Masses'!$Q$2-'Mass Ion Calculations'!$E$20-'Mass Ion Calculations'!$E25)/2-'Mass Ion Calculations'!$D$5)))</f>
        <v/>
      </c>
      <c r="S24" s="3" t="str">
        <f>IF(OR($B24="",S$3=""),"",IF('Mass Ion Calculations'!$D$6="Yes",IF('Mass Ion Calculations'!$D$7="Yes",('Mass Ion Calculations'!$D$18+'AA Exact Masses'!$Q$2+'AA Exact Masses'!$Q$2-'Mass Ion Calculations'!$C$21-'Mass Ion Calculations'!$C25)/2-'Mass Ion Calculations'!$D$5,('Mass Ion Calculations'!$F$18+'AA Exact Masses'!$Q$2+'AA Exact Masses'!$Q$2-'Mass Ion Calculations'!$E$21-'Mass Ion Calculations'!$E25)/2-'Mass Ion Calculations'!$D$5),IF('Mass Ion Calculations'!$D$7="Yes", ('Mass Ion Calculations'!$D$15+'AA Exact Masses'!$Q$2+'AA Exact Masses'!$Q$2-'Mass Ion Calculations'!$C$21-'Mass Ion Calculations'!$C25)/2-'Mass Ion Calculations'!$D$5,('Mass Ion Calculations'!$F$15+'AA Exact Masses'!$Q$2+'AA Exact Masses'!$Q$2-'Mass Ion Calculations'!$E$21-'Mass Ion Calculations'!$E25)/2-'Mass Ion Calculations'!$D$5)))</f>
        <v/>
      </c>
      <c r="T24" s="3" t="str">
        <f>IF(OR($B24="",T$3=""),"",IF('Mass Ion Calculations'!$D$6="Yes",IF('Mass Ion Calculations'!$D$7="Yes",('Mass Ion Calculations'!$D$18+'AA Exact Masses'!$Q$2+'AA Exact Masses'!$Q$2-'Mass Ion Calculations'!$C$22-'Mass Ion Calculations'!$C25)/2-'Mass Ion Calculations'!$D$5,('Mass Ion Calculations'!$F$18+'AA Exact Masses'!$Q$2+'AA Exact Masses'!$Q$2-'Mass Ion Calculations'!$E$22-'Mass Ion Calculations'!$E25)/2-'Mass Ion Calculations'!$D$5),IF('Mass Ion Calculations'!$D$7="Yes", ('Mass Ion Calculations'!$D$15+'AA Exact Masses'!$Q$2+'AA Exact Masses'!$Q$2-'Mass Ion Calculations'!$C$22-'Mass Ion Calculations'!$C25)/2-'Mass Ion Calculations'!$D$5,('Mass Ion Calculations'!$F$15+'AA Exact Masses'!$Q$2+'AA Exact Masses'!$Q$2-'Mass Ion Calculations'!$E$22-'Mass Ion Calculations'!$E25)/2-'Mass Ion Calculations'!$D$5)))</f>
        <v/>
      </c>
      <c r="U24" s="3" t="str">
        <f>IF(OR($B24="",U$3=""),"",IF('Mass Ion Calculations'!$D$6="Yes",IF('Mass Ion Calculations'!$D$7="Yes",('Mass Ion Calculations'!$D$18+'AA Exact Masses'!$Q$2+'AA Exact Masses'!$Q$2-'Mass Ion Calculations'!$C$23-'Mass Ion Calculations'!$C25)/2-'Mass Ion Calculations'!$D$5,('Mass Ion Calculations'!$F$18+'AA Exact Masses'!$Q$2+'AA Exact Masses'!$Q$2-'Mass Ion Calculations'!$E$23-'Mass Ion Calculations'!$E25)/2-'Mass Ion Calculations'!$D$5),IF('Mass Ion Calculations'!$D$7="Yes", ('Mass Ion Calculations'!$D$15+'AA Exact Masses'!$Q$2+'AA Exact Masses'!$Q$2-'Mass Ion Calculations'!$C$23-'Mass Ion Calculations'!$C25)/2-'Mass Ion Calculations'!$D$5,('Mass Ion Calculations'!$F$15+'AA Exact Masses'!$Q$2+'AA Exact Masses'!$Q$2-'Mass Ion Calculations'!$E$23-'Mass Ion Calculations'!$E25)/2-'Mass Ion Calculations'!$D$5)))</f>
        <v/>
      </c>
      <c r="V24" s="3" t="str">
        <f>IF(OR($B24="",V$3=""),"",IF('Mass Ion Calculations'!$D$6="Yes",IF('Mass Ion Calculations'!$D$7="Yes",('Mass Ion Calculations'!$D$18+'AA Exact Masses'!$Q$2+'AA Exact Masses'!$Q$2-'Mass Ion Calculations'!$C$24-'Mass Ion Calculations'!$C25)/2-'Mass Ion Calculations'!$D$5,('Mass Ion Calculations'!$F$18+'AA Exact Masses'!$Q$2+'AA Exact Masses'!$Q$2-'Mass Ion Calculations'!$E$24-'Mass Ion Calculations'!$E25)/2-'Mass Ion Calculations'!$D$5),IF('Mass Ion Calculations'!$D$7="Yes", ('Mass Ion Calculations'!$D$15+'AA Exact Masses'!$Q$2+'AA Exact Masses'!$Q$2-'Mass Ion Calculations'!$C$24-'Mass Ion Calculations'!$C25)/2-'Mass Ion Calculations'!$D$5,('Mass Ion Calculations'!$F$15+'AA Exact Masses'!$Q$2+'AA Exact Masses'!$Q$2-'Mass Ion Calculations'!$E$24-'Mass Ion Calculations'!$E25)/2-'Mass Ion Calculations'!$D$5)))</f>
        <v/>
      </c>
      <c r="W24" s="3" t="str">
        <f>IF(OR($B24="",W$3=""),"",IF('Mass Ion Calculations'!$D$6="Yes",IF('Mass Ion Calculations'!$D$7="Yes",('Mass Ion Calculations'!$D$18+'AA Exact Masses'!$Q$2+'AA Exact Masses'!$Q$2-'Mass Ion Calculations'!$C$25-'Mass Ion Calculations'!$C25)/2-'Mass Ion Calculations'!$D$5,('Mass Ion Calculations'!$F$18+'AA Exact Masses'!$Q$2+'AA Exact Masses'!$Q$2-'Mass Ion Calculations'!$E$25-'Mass Ion Calculations'!$E25)/2-'Mass Ion Calculations'!$D$5),IF('Mass Ion Calculations'!$D$7="Yes", ('Mass Ion Calculations'!$D$15+'AA Exact Masses'!$Q$2+'AA Exact Masses'!$Q$2-'Mass Ion Calculations'!$C$25-'Mass Ion Calculations'!$C25)/2-'Mass Ion Calculations'!$D$5,('Mass Ion Calculations'!$F$15+'AA Exact Masses'!$Q$2+'AA Exact Masses'!$Q$2-'Mass Ion Calculations'!$E$25-'Mass Ion Calculations'!$E25)/2-'Mass Ion Calculations'!$D$5)))</f>
        <v/>
      </c>
      <c r="X24" s="3" t="str">
        <f>IF(OR($B24="",X$3=""),"",IF('Mass Ion Calculations'!$D$6="Yes",IF('Mass Ion Calculations'!$D$7="Yes",('Mass Ion Calculations'!$D$18+'AA Exact Masses'!$Q$2+'AA Exact Masses'!$Q$2-'Mass Ion Calculations'!$C$26-'Mass Ion Calculations'!$C25)/2-'Mass Ion Calculations'!$D$5,('Mass Ion Calculations'!$F$18+'AA Exact Masses'!$Q$2+'AA Exact Masses'!$Q$2-'Mass Ion Calculations'!$E$26-'Mass Ion Calculations'!$E25)/2-'Mass Ion Calculations'!$D$5),IF('Mass Ion Calculations'!$D$7="Yes", ('Mass Ion Calculations'!$D$15+'AA Exact Masses'!$Q$2+'AA Exact Masses'!$Q$2-'Mass Ion Calculations'!$C$26-'Mass Ion Calculations'!$C25)/2-'Mass Ion Calculations'!$D$5,('Mass Ion Calculations'!$F$15+'AA Exact Masses'!$Q$2+'AA Exact Masses'!$Q$2-'Mass Ion Calculations'!$E$26-'Mass Ion Calculations'!$E25)/2-'Mass Ion Calculations'!$D$5)))</f>
        <v/>
      </c>
      <c r="Y24" s="3" t="str">
        <f>IF(OR($B24="",Y$3=""),"",IF('Mass Ion Calculations'!$D$6="Yes",IF('Mass Ion Calculations'!$D$7="Yes",('Mass Ion Calculations'!$D$18+'AA Exact Masses'!$Q$2+'AA Exact Masses'!$Q$2-'Mass Ion Calculations'!$C$27-'Mass Ion Calculations'!$C25)/2-'Mass Ion Calculations'!$D$5,('Mass Ion Calculations'!$F$18+'AA Exact Masses'!$Q$2+'AA Exact Masses'!$Q$2-'Mass Ion Calculations'!$E$27-'Mass Ion Calculations'!$E25)/2-'Mass Ion Calculations'!$D$5),IF('Mass Ion Calculations'!$D$7="Yes", ('Mass Ion Calculations'!$D$15+'AA Exact Masses'!$Q$2+'AA Exact Masses'!$Q$2-'Mass Ion Calculations'!$C$27-'Mass Ion Calculations'!$C25)/2-'Mass Ion Calculations'!$D$5,('Mass Ion Calculations'!$F$15+'AA Exact Masses'!$Q$2+'AA Exact Masses'!$Q$2-'Mass Ion Calculations'!$E$27-'Mass Ion Calculations'!$E25)/2-'Mass Ion Calculations'!$D$5)))</f>
        <v/>
      </c>
      <c r="Z24" s="3" t="str">
        <f>IF(OR($B24="",Z$3=""),"",IF('Mass Ion Calculations'!$D$6="Yes",IF('Mass Ion Calculations'!$D$7="Yes",('Mass Ion Calculations'!$D$18+'AA Exact Masses'!$Q$2+'AA Exact Masses'!$Q$2-'Mass Ion Calculations'!$C$28-'Mass Ion Calculations'!$C25)/2-'Mass Ion Calculations'!$D$5,('Mass Ion Calculations'!$F$18+'AA Exact Masses'!$Q$2+'AA Exact Masses'!$Q$2-'Mass Ion Calculations'!$E$28-'Mass Ion Calculations'!$E25)/2-'Mass Ion Calculations'!$D$5),IF('Mass Ion Calculations'!$D$7="Yes", ('Mass Ion Calculations'!$D$15+'AA Exact Masses'!$Q$2+'AA Exact Masses'!$Q$2-'Mass Ion Calculations'!$C$28-'Mass Ion Calculations'!$C25)/2-'Mass Ion Calculations'!$D$5,('Mass Ion Calculations'!$F$15+'AA Exact Masses'!$Q$2+'AA Exact Masses'!$Q$2-'Mass Ion Calculations'!$E$28-'Mass Ion Calculations'!$E25)/2-'Mass Ion Calculations'!$D$5)))</f>
        <v/>
      </c>
    </row>
    <row r="25" spans="2:26" x14ac:dyDescent="0.25">
      <c r="B25" s="4" t="str">
        <f>IF('Mass Ion Calculations'!B26="","", 'Mass Ion Calculations'!B26)</f>
        <v/>
      </c>
      <c r="C25" s="3" t="str">
        <f>IF(OR($B25="",C$3=""),"",IF('Mass Ion Calculations'!$D$6="Yes",IF('Mass Ion Calculations'!$D$7="Yes",('Mass Ion Calculations'!$D$18+'AA Exact Masses'!$Q$2+'AA Exact Masses'!$Q$2-'Mass Ion Calculations'!$C$5-'Mass Ion Calculations'!$C26)/2-'Mass Ion Calculations'!$D$5,('Mass Ion Calculations'!$F$18+'AA Exact Masses'!$Q$2+'AA Exact Masses'!$Q$2-'Mass Ion Calculations'!$E$5-'Mass Ion Calculations'!$E26)/2-'Mass Ion Calculations'!$D$5),IF('Mass Ion Calculations'!$D$7="Yes", ('Mass Ion Calculations'!$D$15+'AA Exact Masses'!$Q$2+'AA Exact Masses'!$Q$2-'Mass Ion Calculations'!$C$5-'Mass Ion Calculations'!$C26)/2-'Mass Ion Calculations'!$D$5,('Mass Ion Calculations'!$F$15+'AA Exact Masses'!$Q$2+'AA Exact Masses'!$Q$2-'Mass Ion Calculations'!$E$5-'Mass Ion Calculations'!$E26)/2-'Mass Ion Calculations'!$D$5)))</f>
        <v/>
      </c>
      <c r="D25" s="3" t="str">
        <f>IF(OR($B25="",D$3=""),"",IF('Mass Ion Calculations'!$D$6="Yes",IF('Mass Ion Calculations'!$D$7="Yes",('Mass Ion Calculations'!$D$18+'AA Exact Masses'!$Q$2+'AA Exact Masses'!$Q$2-'Mass Ion Calculations'!$C$6-'Mass Ion Calculations'!$C26)/2-'Mass Ion Calculations'!$D$5,('Mass Ion Calculations'!$F$18+'AA Exact Masses'!$Q$2+'AA Exact Masses'!$Q$2-'Mass Ion Calculations'!$E$6-'Mass Ion Calculations'!$E26)/2-'Mass Ion Calculations'!$D$5),IF('Mass Ion Calculations'!$D$7="Yes", ('Mass Ion Calculations'!$D$15+'AA Exact Masses'!$Q$2+'AA Exact Masses'!$Q$2-'Mass Ion Calculations'!$C$6-'Mass Ion Calculations'!$C26)/2-'Mass Ion Calculations'!$D$5,('Mass Ion Calculations'!$F$15+'AA Exact Masses'!$Q$2+'AA Exact Masses'!$Q$2-'Mass Ion Calculations'!$E$6-'Mass Ion Calculations'!$E26)/2-'Mass Ion Calculations'!$D$5)))</f>
        <v/>
      </c>
      <c r="E25" s="3" t="str">
        <f>IF(OR($B25="",E$3=""),"",IF('Mass Ion Calculations'!$D$6="Yes",IF('Mass Ion Calculations'!$D$7="Yes",('Mass Ion Calculations'!$D$18+'AA Exact Masses'!$Q$2+'AA Exact Masses'!$Q$2-'Mass Ion Calculations'!$C$7-'Mass Ion Calculations'!$C26)/2-'Mass Ion Calculations'!$D$5,('Mass Ion Calculations'!$F$18+'AA Exact Masses'!$Q$2+'AA Exact Masses'!$Q$2-'Mass Ion Calculations'!$E$7-'Mass Ion Calculations'!$E26)/2-'Mass Ion Calculations'!$D$5),IF('Mass Ion Calculations'!$D$7="Yes", ('Mass Ion Calculations'!$D$15+'AA Exact Masses'!$Q$2+'AA Exact Masses'!$Q$2-'Mass Ion Calculations'!$C$7-'Mass Ion Calculations'!$C26)/2-'Mass Ion Calculations'!$D$5,('Mass Ion Calculations'!$F$15+'AA Exact Masses'!$Q$2+'AA Exact Masses'!$Q$2-'Mass Ion Calculations'!$E$7-'Mass Ion Calculations'!$E26)/2-'Mass Ion Calculations'!$D$5)))</f>
        <v/>
      </c>
      <c r="F25" s="3" t="str">
        <f>IF(OR($B25="",F$3=""),"",IF('Mass Ion Calculations'!$D$6="Yes",IF('Mass Ion Calculations'!$D$7="Yes",('Mass Ion Calculations'!$D$18+'AA Exact Masses'!$Q$2+'AA Exact Masses'!$Q$2-'Mass Ion Calculations'!$C$8-'Mass Ion Calculations'!$C26)/2-'Mass Ion Calculations'!$D$5,('Mass Ion Calculations'!$F$18+'AA Exact Masses'!$Q$2+'AA Exact Masses'!$Q$2-'Mass Ion Calculations'!$E$8-'Mass Ion Calculations'!$E26)/2-'Mass Ion Calculations'!$D$5),IF('Mass Ion Calculations'!$D$7="Yes", ('Mass Ion Calculations'!$D$15+'AA Exact Masses'!$Q$2+'AA Exact Masses'!$Q$2-'Mass Ion Calculations'!$C$8-'Mass Ion Calculations'!$C26)/2-'Mass Ion Calculations'!$D$5,('Mass Ion Calculations'!$F$15+'AA Exact Masses'!$Q$2+'AA Exact Masses'!$Q$2-'Mass Ion Calculations'!$E$8-'Mass Ion Calculations'!$E26)/2-'Mass Ion Calculations'!$D$5)))</f>
        <v/>
      </c>
      <c r="G25" s="3" t="str">
        <f>IF(OR($B25="",G$3=""),"",IF('Mass Ion Calculations'!$D$6="Yes",IF('Mass Ion Calculations'!$D$7="Yes",('Mass Ion Calculations'!$D$18+'AA Exact Masses'!$Q$2+'AA Exact Masses'!$Q$2-'Mass Ion Calculations'!$C$9-'Mass Ion Calculations'!$C26)/2-'Mass Ion Calculations'!$D$5,('Mass Ion Calculations'!$F$18+'AA Exact Masses'!$Q$2+'AA Exact Masses'!$Q$2-'Mass Ion Calculations'!$E$9-'Mass Ion Calculations'!$E26)/2-'Mass Ion Calculations'!$D$5),IF('Mass Ion Calculations'!$D$7="Yes", ('Mass Ion Calculations'!$D$15+'AA Exact Masses'!$Q$2+'AA Exact Masses'!$Q$2-'Mass Ion Calculations'!$C$9-'Mass Ion Calculations'!$C26)/2-'Mass Ion Calculations'!$D$5,('Mass Ion Calculations'!$F$15+'AA Exact Masses'!$Q$2+'AA Exact Masses'!$Q$2-'Mass Ion Calculations'!$E$9-'Mass Ion Calculations'!$E26)/2-'Mass Ion Calculations'!$D$5)))</f>
        <v/>
      </c>
      <c r="H25" s="3" t="str">
        <f>IF(OR($B25="",H$3=""),"",IF('Mass Ion Calculations'!$D$6="Yes",IF('Mass Ion Calculations'!$D$7="Yes",('Mass Ion Calculations'!$D$18+'AA Exact Masses'!$Q$2+'AA Exact Masses'!$Q$2-'Mass Ion Calculations'!$C$10-'Mass Ion Calculations'!$C26)/2-'Mass Ion Calculations'!$D$5,('Mass Ion Calculations'!$F$18+'AA Exact Masses'!$Q$2+'AA Exact Masses'!$Q$2-'Mass Ion Calculations'!$E$10-'Mass Ion Calculations'!$E26)/2-'Mass Ion Calculations'!$D$5),IF('Mass Ion Calculations'!$D$7="Yes", ('Mass Ion Calculations'!$D$15+'AA Exact Masses'!$Q$2+'AA Exact Masses'!$Q$2-'Mass Ion Calculations'!$C$10-'Mass Ion Calculations'!$C26)/2-'Mass Ion Calculations'!$D$5,('Mass Ion Calculations'!$F$15+'AA Exact Masses'!$Q$2+'AA Exact Masses'!$Q$2-'Mass Ion Calculations'!$E$10-'Mass Ion Calculations'!$E26)/2-'Mass Ion Calculations'!$D$5)))</f>
        <v/>
      </c>
      <c r="I25" s="3" t="str">
        <f>IF(OR($B25="",I$3=""),"",IF('Mass Ion Calculations'!$D$6="Yes",IF('Mass Ion Calculations'!$D$7="Yes",('Mass Ion Calculations'!$D$18+'AA Exact Masses'!$Q$2+'AA Exact Masses'!$Q$2-'Mass Ion Calculations'!$C$11-'Mass Ion Calculations'!$C26)/2-'Mass Ion Calculations'!$D$5,('Mass Ion Calculations'!$F$18+'AA Exact Masses'!$Q$2+'AA Exact Masses'!$Q$2-'Mass Ion Calculations'!$E$11-'Mass Ion Calculations'!$E26)/2-'Mass Ion Calculations'!$D$5),IF('Mass Ion Calculations'!$D$7="Yes", ('Mass Ion Calculations'!$D$15+'AA Exact Masses'!$Q$2+'AA Exact Masses'!$Q$2-'Mass Ion Calculations'!$C$11-'Mass Ion Calculations'!$C26)/2-'Mass Ion Calculations'!$D$5,('Mass Ion Calculations'!$F$15+'AA Exact Masses'!$Q$2+'AA Exact Masses'!$Q$2-'Mass Ion Calculations'!$E$11-'Mass Ion Calculations'!$E26)/2-'Mass Ion Calculations'!$D$5)))</f>
        <v/>
      </c>
      <c r="J25" s="3" t="str">
        <f>IF(OR($B25="",J$3=""),"",IF('Mass Ion Calculations'!$D$6="Yes",IF('Mass Ion Calculations'!$D$7="Yes",('Mass Ion Calculations'!$D$18+'AA Exact Masses'!$Q$2+'AA Exact Masses'!$Q$2-'Mass Ion Calculations'!$C$12-'Mass Ion Calculations'!$C26)/2-'Mass Ion Calculations'!$D$5,('Mass Ion Calculations'!$F$18+'AA Exact Masses'!$Q$2+'AA Exact Masses'!$Q$2-'Mass Ion Calculations'!$E$12-'Mass Ion Calculations'!$E26)/2-'Mass Ion Calculations'!$D$5),IF('Mass Ion Calculations'!$D$7="Yes", ('Mass Ion Calculations'!$D$15+'AA Exact Masses'!$Q$2+'AA Exact Masses'!$Q$2-'Mass Ion Calculations'!$C$12-'Mass Ion Calculations'!$C26)/2-'Mass Ion Calculations'!$D$5,('Mass Ion Calculations'!$F$15+'AA Exact Masses'!$Q$2+'AA Exact Masses'!$Q$2-'Mass Ion Calculations'!$E$12-'Mass Ion Calculations'!$E26)/2-'Mass Ion Calculations'!$D$5)))</f>
        <v/>
      </c>
      <c r="K25" s="3" t="str">
        <f>IF(OR($B25="",K$3=""),"",IF('Mass Ion Calculations'!$D$6="Yes",IF('Mass Ion Calculations'!$D$7="Yes",('Mass Ion Calculations'!$D$18+'AA Exact Masses'!$Q$2+'AA Exact Masses'!$Q$2-'Mass Ion Calculations'!$C$13-'Mass Ion Calculations'!$C26)/2-'Mass Ion Calculations'!$D$5,('Mass Ion Calculations'!$F$18+'AA Exact Masses'!$Q$2+'AA Exact Masses'!$Q$2-'Mass Ion Calculations'!$E$13-'Mass Ion Calculations'!$E26)/2-'Mass Ion Calculations'!$D$5),IF('Mass Ion Calculations'!$D$7="Yes", ('Mass Ion Calculations'!$D$15+'AA Exact Masses'!$Q$2+'AA Exact Masses'!$Q$2-'Mass Ion Calculations'!$C$13-'Mass Ion Calculations'!$C26)/2-'Mass Ion Calculations'!$D$5,('Mass Ion Calculations'!$F$15+'AA Exact Masses'!$Q$2+'AA Exact Masses'!$Q$2-'Mass Ion Calculations'!$E$13-'Mass Ion Calculations'!$E26)/2-'Mass Ion Calculations'!$D$5)))</f>
        <v/>
      </c>
      <c r="L25" s="3" t="str">
        <f>IF(OR($B25="",L$3=""),"",IF('Mass Ion Calculations'!$D$6="Yes",IF('Mass Ion Calculations'!$D$7="Yes",('Mass Ion Calculations'!$D$18+'AA Exact Masses'!$Q$2+'AA Exact Masses'!$Q$2-'Mass Ion Calculations'!$C$14-'Mass Ion Calculations'!$C26)/2-'Mass Ion Calculations'!$D$5,('Mass Ion Calculations'!$F$18+'AA Exact Masses'!$Q$2+'AA Exact Masses'!$Q$2-'Mass Ion Calculations'!$E$14-'Mass Ion Calculations'!$E26)/2-'Mass Ion Calculations'!$D$5),IF('Mass Ion Calculations'!$D$7="Yes", ('Mass Ion Calculations'!$D$15+'AA Exact Masses'!$Q$2+'AA Exact Masses'!$Q$2-'Mass Ion Calculations'!$C$14-'Mass Ion Calculations'!$C26)/2-'Mass Ion Calculations'!$D$5,('Mass Ion Calculations'!$F$15+'AA Exact Masses'!$Q$2+'AA Exact Masses'!$Q$2-'Mass Ion Calculations'!$E$14-'Mass Ion Calculations'!$E26)/2-'Mass Ion Calculations'!$D$5)))</f>
        <v/>
      </c>
      <c r="M25" s="3" t="str">
        <f>IF(OR($B25="",M$3=""),"",IF('Mass Ion Calculations'!$D$6="Yes",IF('Mass Ion Calculations'!$D$7="Yes",('Mass Ion Calculations'!$D$18+'AA Exact Masses'!$Q$2+'AA Exact Masses'!$Q$2-'Mass Ion Calculations'!$C$15-'Mass Ion Calculations'!$C26)/2-'Mass Ion Calculations'!$D$5,('Mass Ion Calculations'!$F$18+'AA Exact Masses'!$Q$2+'AA Exact Masses'!$Q$2-'Mass Ion Calculations'!$E$15-'Mass Ion Calculations'!$E26)/2-'Mass Ion Calculations'!$D$5),IF('Mass Ion Calculations'!$D$7="Yes", ('Mass Ion Calculations'!$D$15+'AA Exact Masses'!$Q$2+'AA Exact Masses'!$Q$2-'Mass Ion Calculations'!$C$15-'Mass Ion Calculations'!$C26)/2-'Mass Ion Calculations'!$D$5,('Mass Ion Calculations'!$F$15+'AA Exact Masses'!$Q$2+'AA Exact Masses'!$Q$2-'Mass Ion Calculations'!$E$15-'Mass Ion Calculations'!$E26)/2-'Mass Ion Calculations'!$D$5)))</f>
        <v/>
      </c>
      <c r="N25" s="3" t="str">
        <f>IF(OR($B25="",N$3=""),"",IF('Mass Ion Calculations'!$D$6="Yes",IF('Mass Ion Calculations'!$D$7="Yes",('Mass Ion Calculations'!$D$18+'AA Exact Masses'!$Q$2+'AA Exact Masses'!$Q$2-'Mass Ion Calculations'!$C$16-'Mass Ion Calculations'!$C26)/2-'Mass Ion Calculations'!$D$5,('Mass Ion Calculations'!$F$18+'AA Exact Masses'!$Q$2+'AA Exact Masses'!$Q$2-'Mass Ion Calculations'!$E$16-'Mass Ion Calculations'!$E26)/2-'Mass Ion Calculations'!$D$5),IF('Mass Ion Calculations'!$D$7="Yes", ('Mass Ion Calculations'!$D$15+'AA Exact Masses'!$Q$2+'AA Exact Masses'!$Q$2-'Mass Ion Calculations'!$C$16-'Mass Ion Calculations'!$C26)/2-'Mass Ion Calculations'!$D$5,('Mass Ion Calculations'!$F$15+'AA Exact Masses'!$Q$2+'AA Exact Masses'!$Q$2-'Mass Ion Calculations'!$E$16-'Mass Ion Calculations'!$E26)/2-'Mass Ion Calculations'!$D$5)))</f>
        <v/>
      </c>
      <c r="O25" s="3" t="str">
        <f>IF(OR($B25="",O$3=""),"",IF('Mass Ion Calculations'!$D$6="Yes",IF('Mass Ion Calculations'!$D$7="Yes",('Mass Ion Calculations'!$D$18+'AA Exact Masses'!$Q$2+'AA Exact Masses'!$Q$2-'Mass Ion Calculations'!$C$17-'Mass Ion Calculations'!$C26)/2-'Mass Ion Calculations'!$D$5,('Mass Ion Calculations'!$F$18+'AA Exact Masses'!$Q$2+'AA Exact Masses'!$Q$2-'Mass Ion Calculations'!$E$17-'Mass Ion Calculations'!$E26)/2-'Mass Ion Calculations'!$D$5),IF('Mass Ion Calculations'!$D$7="Yes", ('Mass Ion Calculations'!$D$15+'AA Exact Masses'!$Q$2+'AA Exact Masses'!$Q$2-'Mass Ion Calculations'!$C$17-'Mass Ion Calculations'!$C26)/2-'Mass Ion Calculations'!$D$5,('Mass Ion Calculations'!$F$15+'AA Exact Masses'!$Q$2+'AA Exact Masses'!$Q$2-'Mass Ion Calculations'!$E$17-'Mass Ion Calculations'!$E26)/2-'Mass Ion Calculations'!$D$5)))</f>
        <v/>
      </c>
      <c r="P25" s="3" t="str">
        <f>IF(OR($B25="",P$3=""),"",IF('Mass Ion Calculations'!$D$6="Yes",IF('Mass Ion Calculations'!$D$7="Yes",('Mass Ion Calculations'!$D$18+'AA Exact Masses'!$Q$2+'AA Exact Masses'!$Q$2-'Mass Ion Calculations'!$C$18-'Mass Ion Calculations'!$C26)/2-'Mass Ion Calculations'!$D$5,('Mass Ion Calculations'!$F$18+'AA Exact Masses'!$Q$2+'AA Exact Masses'!$Q$2-'Mass Ion Calculations'!$E$18-'Mass Ion Calculations'!$E26)/2-'Mass Ion Calculations'!$D$5),IF('Mass Ion Calculations'!$D$7="Yes", ('Mass Ion Calculations'!$D$15+'AA Exact Masses'!$Q$2+'AA Exact Masses'!$Q$2-'Mass Ion Calculations'!$C$18-'Mass Ion Calculations'!$C26)/2-'Mass Ion Calculations'!$D$5,('Mass Ion Calculations'!$F$15+'AA Exact Masses'!$Q$2+'AA Exact Masses'!$Q$2-'Mass Ion Calculations'!$E$18-'Mass Ion Calculations'!$E26)/2-'Mass Ion Calculations'!$D$5)))</f>
        <v/>
      </c>
      <c r="Q25" s="3" t="str">
        <f>IF(OR($B25="",Q$3=""),"",IF('Mass Ion Calculations'!$D$6="Yes",IF('Mass Ion Calculations'!$D$7="Yes",('Mass Ion Calculations'!$D$18+'AA Exact Masses'!$Q$2+'AA Exact Masses'!$Q$2-'Mass Ion Calculations'!$C$19-'Mass Ion Calculations'!$C26)/2-'Mass Ion Calculations'!$D$5,('Mass Ion Calculations'!$F$18+'AA Exact Masses'!$Q$2+'AA Exact Masses'!$Q$2-'Mass Ion Calculations'!$E$19-'Mass Ion Calculations'!$E26)/2-'Mass Ion Calculations'!$D$5),IF('Mass Ion Calculations'!$D$7="Yes", ('Mass Ion Calculations'!$D$15+'AA Exact Masses'!$Q$2+'AA Exact Masses'!$Q$2-'Mass Ion Calculations'!$C$19-'Mass Ion Calculations'!$C26)/2-'Mass Ion Calculations'!$D$5,('Mass Ion Calculations'!$F$15+'AA Exact Masses'!$Q$2+'AA Exact Masses'!$Q$2-'Mass Ion Calculations'!$E$19-'Mass Ion Calculations'!$E26)/2-'Mass Ion Calculations'!$D$5)))</f>
        <v/>
      </c>
      <c r="R25" s="3" t="str">
        <f>IF(OR($B25="",R$3=""),"",IF('Mass Ion Calculations'!$D$6="Yes",IF('Mass Ion Calculations'!$D$7="Yes",('Mass Ion Calculations'!$D$18+'AA Exact Masses'!$Q$2+'AA Exact Masses'!$Q$2-'Mass Ion Calculations'!$C$20-'Mass Ion Calculations'!$C26)/2-'Mass Ion Calculations'!$D$5,('Mass Ion Calculations'!$F$18+'AA Exact Masses'!$Q$2+'AA Exact Masses'!$Q$2-'Mass Ion Calculations'!$E$20-'Mass Ion Calculations'!$E26)/2-'Mass Ion Calculations'!$D$5),IF('Mass Ion Calculations'!$D$7="Yes", ('Mass Ion Calculations'!$D$15+'AA Exact Masses'!$Q$2+'AA Exact Masses'!$Q$2-'Mass Ion Calculations'!$C$20-'Mass Ion Calculations'!$C26)/2-'Mass Ion Calculations'!$D$5,('Mass Ion Calculations'!$F$15+'AA Exact Masses'!$Q$2+'AA Exact Masses'!$Q$2-'Mass Ion Calculations'!$E$20-'Mass Ion Calculations'!$E26)/2-'Mass Ion Calculations'!$D$5)))</f>
        <v/>
      </c>
      <c r="S25" s="3" t="str">
        <f>IF(OR($B25="",S$3=""),"",IF('Mass Ion Calculations'!$D$6="Yes",IF('Mass Ion Calculations'!$D$7="Yes",('Mass Ion Calculations'!$D$18+'AA Exact Masses'!$Q$2+'AA Exact Masses'!$Q$2-'Mass Ion Calculations'!$C$21-'Mass Ion Calculations'!$C26)/2-'Mass Ion Calculations'!$D$5,('Mass Ion Calculations'!$F$18+'AA Exact Masses'!$Q$2+'AA Exact Masses'!$Q$2-'Mass Ion Calculations'!$E$21-'Mass Ion Calculations'!$E26)/2-'Mass Ion Calculations'!$D$5),IF('Mass Ion Calculations'!$D$7="Yes", ('Mass Ion Calculations'!$D$15+'AA Exact Masses'!$Q$2+'AA Exact Masses'!$Q$2-'Mass Ion Calculations'!$C$21-'Mass Ion Calculations'!$C26)/2-'Mass Ion Calculations'!$D$5,('Mass Ion Calculations'!$F$15+'AA Exact Masses'!$Q$2+'AA Exact Masses'!$Q$2-'Mass Ion Calculations'!$E$21-'Mass Ion Calculations'!$E26)/2-'Mass Ion Calculations'!$D$5)))</f>
        <v/>
      </c>
      <c r="T25" s="3" t="str">
        <f>IF(OR($B25="",T$3=""),"",IF('Mass Ion Calculations'!$D$6="Yes",IF('Mass Ion Calculations'!$D$7="Yes",('Mass Ion Calculations'!$D$18+'AA Exact Masses'!$Q$2+'AA Exact Masses'!$Q$2-'Mass Ion Calculations'!$C$22-'Mass Ion Calculations'!$C26)/2-'Mass Ion Calculations'!$D$5,('Mass Ion Calculations'!$F$18+'AA Exact Masses'!$Q$2+'AA Exact Masses'!$Q$2-'Mass Ion Calculations'!$E$22-'Mass Ion Calculations'!$E26)/2-'Mass Ion Calculations'!$D$5),IF('Mass Ion Calculations'!$D$7="Yes", ('Mass Ion Calculations'!$D$15+'AA Exact Masses'!$Q$2+'AA Exact Masses'!$Q$2-'Mass Ion Calculations'!$C$22-'Mass Ion Calculations'!$C26)/2-'Mass Ion Calculations'!$D$5,('Mass Ion Calculations'!$F$15+'AA Exact Masses'!$Q$2+'AA Exact Masses'!$Q$2-'Mass Ion Calculations'!$E$22-'Mass Ion Calculations'!$E26)/2-'Mass Ion Calculations'!$D$5)))</f>
        <v/>
      </c>
      <c r="U25" s="3" t="str">
        <f>IF(OR($B25="",U$3=""),"",IF('Mass Ion Calculations'!$D$6="Yes",IF('Mass Ion Calculations'!$D$7="Yes",('Mass Ion Calculations'!$D$18+'AA Exact Masses'!$Q$2+'AA Exact Masses'!$Q$2-'Mass Ion Calculations'!$C$23-'Mass Ion Calculations'!$C26)/2-'Mass Ion Calculations'!$D$5,('Mass Ion Calculations'!$F$18+'AA Exact Masses'!$Q$2+'AA Exact Masses'!$Q$2-'Mass Ion Calculations'!$E$23-'Mass Ion Calculations'!$E26)/2-'Mass Ion Calculations'!$D$5),IF('Mass Ion Calculations'!$D$7="Yes", ('Mass Ion Calculations'!$D$15+'AA Exact Masses'!$Q$2+'AA Exact Masses'!$Q$2-'Mass Ion Calculations'!$C$23-'Mass Ion Calculations'!$C26)/2-'Mass Ion Calculations'!$D$5,('Mass Ion Calculations'!$F$15+'AA Exact Masses'!$Q$2+'AA Exact Masses'!$Q$2-'Mass Ion Calculations'!$E$23-'Mass Ion Calculations'!$E26)/2-'Mass Ion Calculations'!$D$5)))</f>
        <v/>
      </c>
      <c r="V25" s="3" t="str">
        <f>IF(OR($B25="",V$3=""),"",IF('Mass Ion Calculations'!$D$6="Yes",IF('Mass Ion Calculations'!$D$7="Yes",('Mass Ion Calculations'!$D$18+'AA Exact Masses'!$Q$2+'AA Exact Masses'!$Q$2-'Mass Ion Calculations'!$C$24-'Mass Ion Calculations'!$C26)/2-'Mass Ion Calculations'!$D$5,('Mass Ion Calculations'!$F$18+'AA Exact Masses'!$Q$2+'AA Exact Masses'!$Q$2-'Mass Ion Calculations'!$E$24-'Mass Ion Calculations'!$E26)/2-'Mass Ion Calculations'!$D$5),IF('Mass Ion Calculations'!$D$7="Yes", ('Mass Ion Calculations'!$D$15+'AA Exact Masses'!$Q$2+'AA Exact Masses'!$Q$2-'Mass Ion Calculations'!$C$24-'Mass Ion Calculations'!$C26)/2-'Mass Ion Calculations'!$D$5,('Mass Ion Calculations'!$F$15+'AA Exact Masses'!$Q$2+'AA Exact Masses'!$Q$2-'Mass Ion Calculations'!$E$24-'Mass Ion Calculations'!$E26)/2-'Mass Ion Calculations'!$D$5)))</f>
        <v/>
      </c>
      <c r="W25" s="3" t="str">
        <f>IF(OR($B25="",W$3=""),"",IF('Mass Ion Calculations'!$D$6="Yes",IF('Mass Ion Calculations'!$D$7="Yes",('Mass Ion Calculations'!$D$18+'AA Exact Masses'!$Q$2+'AA Exact Masses'!$Q$2-'Mass Ion Calculations'!$C$25-'Mass Ion Calculations'!$C26)/2-'Mass Ion Calculations'!$D$5,('Mass Ion Calculations'!$F$18+'AA Exact Masses'!$Q$2+'AA Exact Masses'!$Q$2-'Mass Ion Calculations'!$E$25-'Mass Ion Calculations'!$E26)/2-'Mass Ion Calculations'!$D$5),IF('Mass Ion Calculations'!$D$7="Yes", ('Mass Ion Calculations'!$D$15+'AA Exact Masses'!$Q$2+'AA Exact Masses'!$Q$2-'Mass Ion Calculations'!$C$25-'Mass Ion Calculations'!$C26)/2-'Mass Ion Calculations'!$D$5,('Mass Ion Calculations'!$F$15+'AA Exact Masses'!$Q$2+'AA Exact Masses'!$Q$2-'Mass Ion Calculations'!$E$25-'Mass Ion Calculations'!$E26)/2-'Mass Ion Calculations'!$D$5)))</f>
        <v/>
      </c>
      <c r="X25" s="3" t="str">
        <f>IF(OR($B25="",X$3=""),"",IF('Mass Ion Calculations'!$D$6="Yes",IF('Mass Ion Calculations'!$D$7="Yes",('Mass Ion Calculations'!$D$18+'AA Exact Masses'!$Q$2+'AA Exact Masses'!$Q$2-'Mass Ion Calculations'!$C$26-'Mass Ion Calculations'!$C26)/2-'Mass Ion Calculations'!$D$5,('Mass Ion Calculations'!$F$18+'AA Exact Masses'!$Q$2+'AA Exact Masses'!$Q$2-'Mass Ion Calculations'!$E$26-'Mass Ion Calculations'!$E26)/2-'Mass Ion Calculations'!$D$5),IF('Mass Ion Calculations'!$D$7="Yes", ('Mass Ion Calculations'!$D$15+'AA Exact Masses'!$Q$2+'AA Exact Masses'!$Q$2-'Mass Ion Calculations'!$C$26-'Mass Ion Calculations'!$C26)/2-'Mass Ion Calculations'!$D$5,('Mass Ion Calculations'!$F$15+'AA Exact Masses'!$Q$2+'AA Exact Masses'!$Q$2-'Mass Ion Calculations'!$E$26-'Mass Ion Calculations'!$E26)/2-'Mass Ion Calculations'!$D$5)))</f>
        <v/>
      </c>
      <c r="Y25" s="3" t="str">
        <f>IF(OR($B25="",Y$3=""),"",IF('Mass Ion Calculations'!$D$6="Yes",IF('Mass Ion Calculations'!$D$7="Yes",('Mass Ion Calculations'!$D$18+'AA Exact Masses'!$Q$2+'AA Exact Masses'!$Q$2-'Mass Ion Calculations'!$C$27-'Mass Ion Calculations'!$C26)/2-'Mass Ion Calculations'!$D$5,('Mass Ion Calculations'!$F$18+'AA Exact Masses'!$Q$2+'AA Exact Masses'!$Q$2-'Mass Ion Calculations'!$E$27-'Mass Ion Calculations'!$E26)/2-'Mass Ion Calculations'!$D$5),IF('Mass Ion Calculations'!$D$7="Yes", ('Mass Ion Calculations'!$D$15+'AA Exact Masses'!$Q$2+'AA Exact Masses'!$Q$2-'Mass Ion Calculations'!$C$27-'Mass Ion Calculations'!$C26)/2-'Mass Ion Calculations'!$D$5,('Mass Ion Calculations'!$F$15+'AA Exact Masses'!$Q$2+'AA Exact Masses'!$Q$2-'Mass Ion Calculations'!$E$27-'Mass Ion Calculations'!$E26)/2-'Mass Ion Calculations'!$D$5)))</f>
        <v/>
      </c>
      <c r="Z25" s="3" t="str">
        <f>IF(OR($B25="",Z$3=""),"",IF('Mass Ion Calculations'!$D$6="Yes",IF('Mass Ion Calculations'!$D$7="Yes",('Mass Ion Calculations'!$D$18+'AA Exact Masses'!$Q$2+'AA Exact Masses'!$Q$2-'Mass Ion Calculations'!$C$28-'Mass Ion Calculations'!$C26)/2-'Mass Ion Calculations'!$D$5,('Mass Ion Calculations'!$F$18+'AA Exact Masses'!$Q$2+'AA Exact Masses'!$Q$2-'Mass Ion Calculations'!$E$28-'Mass Ion Calculations'!$E26)/2-'Mass Ion Calculations'!$D$5),IF('Mass Ion Calculations'!$D$7="Yes", ('Mass Ion Calculations'!$D$15+'AA Exact Masses'!$Q$2+'AA Exact Masses'!$Q$2-'Mass Ion Calculations'!$C$28-'Mass Ion Calculations'!$C26)/2-'Mass Ion Calculations'!$D$5,('Mass Ion Calculations'!$F$15+'AA Exact Masses'!$Q$2+'AA Exact Masses'!$Q$2-'Mass Ion Calculations'!$E$28-'Mass Ion Calculations'!$E26)/2-'Mass Ion Calculations'!$D$5)))</f>
        <v/>
      </c>
    </row>
    <row r="26" spans="2:26" x14ac:dyDescent="0.25">
      <c r="C26" s="3" t="str">
        <f>IF(OR($B26="",C$3=""),"",IF('Mass Ion Calculations'!$D$6="Yes",IF('Mass Ion Calculations'!$D$7="Yes",('Mass Ion Calculations'!$D$18+'AA Exact Masses'!$Q$2+'AA Exact Masses'!$Q$2-'Mass Ion Calculations'!$C$5-'Mass Ion Calculations'!$C27)/2-'Mass Ion Calculations'!$D$5,('Mass Ion Calculations'!$F$18+'AA Exact Masses'!$Q$2+'AA Exact Masses'!$Q$2-'Mass Ion Calculations'!$E$5-'Mass Ion Calculations'!$E27)/2-'Mass Ion Calculations'!$D$5),IF('Mass Ion Calculations'!$D$7="Yes", ('Mass Ion Calculations'!$D$15+'AA Exact Masses'!$Q$2+'AA Exact Masses'!$Q$2-'Mass Ion Calculations'!$C$5-'Mass Ion Calculations'!$C27)/2-'Mass Ion Calculations'!$D$5,('Mass Ion Calculations'!$F$15+'AA Exact Masses'!$Q$2+'AA Exact Masses'!$Q$2-'Mass Ion Calculations'!$E$5-'Mass Ion Calculations'!$E27)/2-'Mass Ion Calculations'!$D$5)))</f>
        <v/>
      </c>
      <c r="D26" s="3" t="str">
        <f>IF(OR($B26="",D$3=""),"",IF('Mass Ion Calculations'!$D$6="Yes",IF('Mass Ion Calculations'!$D$7="Yes",('Mass Ion Calculations'!$D$18+'AA Exact Masses'!$Q$2+'AA Exact Masses'!$Q$2-'Mass Ion Calculations'!$C$6-'Mass Ion Calculations'!$C27)/2-'Mass Ion Calculations'!$D$5,('Mass Ion Calculations'!$F$18+'AA Exact Masses'!$Q$2+'AA Exact Masses'!$Q$2-'Mass Ion Calculations'!$E$6-'Mass Ion Calculations'!$E27)/2-'Mass Ion Calculations'!$D$5),IF('Mass Ion Calculations'!$D$7="Yes", ('Mass Ion Calculations'!$D$15+'AA Exact Masses'!$Q$2+'AA Exact Masses'!$Q$2-'Mass Ion Calculations'!$C$6-'Mass Ion Calculations'!$C27)/2-'Mass Ion Calculations'!$D$5,('Mass Ion Calculations'!$F$15+'AA Exact Masses'!$Q$2+'AA Exact Masses'!$Q$2-'Mass Ion Calculations'!$E$6-'Mass Ion Calculations'!$E27)/2-'Mass Ion Calculations'!$D$5)))</f>
        <v/>
      </c>
      <c r="E26" s="3" t="str">
        <f>IF(OR($B26="",E$3=""),"",IF('Mass Ion Calculations'!$D$6="Yes",IF('Mass Ion Calculations'!$D$7="Yes",('Mass Ion Calculations'!$D$18+'AA Exact Masses'!$Q$2+'AA Exact Masses'!$Q$2-'Mass Ion Calculations'!$C$7-'Mass Ion Calculations'!$C27)/2-'Mass Ion Calculations'!$D$5,('Mass Ion Calculations'!$F$18+'AA Exact Masses'!$Q$2+'AA Exact Masses'!$Q$2-'Mass Ion Calculations'!$E$7-'Mass Ion Calculations'!$E27)/2-'Mass Ion Calculations'!$D$5),IF('Mass Ion Calculations'!$D$7="Yes", ('Mass Ion Calculations'!$D$15+'AA Exact Masses'!$Q$2+'AA Exact Masses'!$Q$2-'Mass Ion Calculations'!$C$7-'Mass Ion Calculations'!$C27)/2-'Mass Ion Calculations'!$D$5,('Mass Ion Calculations'!$F$15+'AA Exact Masses'!$Q$2+'AA Exact Masses'!$Q$2-'Mass Ion Calculations'!$E$7-'Mass Ion Calculations'!$E27)/2-'Mass Ion Calculations'!$D$5)))</f>
        <v/>
      </c>
      <c r="F26" s="3" t="str">
        <f>IF(OR($B26="",F$3=""),"",IF('Mass Ion Calculations'!$D$6="Yes",IF('Mass Ion Calculations'!$D$7="Yes",('Mass Ion Calculations'!$D$18+'AA Exact Masses'!$Q$2+'AA Exact Masses'!$Q$2-'Mass Ion Calculations'!$C$8-'Mass Ion Calculations'!$C27)/2-'Mass Ion Calculations'!$D$5,('Mass Ion Calculations'!$F$18+'AA Exact Masses'!$Q$2+'AA Exact Masses'!$Q$2-'Mass Ion Calculations'!$E$8-'Mass Ion Calculations'!$E27)/2-'Mass Ion Calculations'!$D$5),IF('Mass Ion Calculations'!$D$7="Yes", ('Mass Ion Calculations'!$D$15+'AA Exact Masses'!$Q$2+'AA Exact Masses'!$Q$2-'Mass Ion Calculations'!$C$8-'Mass Ion Calculations'!$C27)/2-'Mass Ion Calculations'!$D$5,('Mass Ion Calculations'!$F$15+'AA Exact Masses'!$Q$2+'AA Exact Masses'!$Q$2-'Mass Ion Calculations'!$E$8-'Mass Ion Calculations'!$E27)/2-'Mass Ion Calculations'!$D$5)))</f>
        <v/>
      </c>
      <c r="G26" s="3" t="str">
        <f>IF(OR($B26="",G$3=""),"",IF('Mass Ion Calculations'!$D$6="Yes",IF('Mass Ion Calculations'!$D$7="Yes",('Mass Ion Calculations'!$D$18+'AA Exact Masses'!$Q$2+'AA Exact Masses'!$Q$2-'Mass Ion Calculations'!$C$9-'Mass Ion Calculations'!$C27)/2-'Mass Ion Calculations'!$D$5,('Mass Ion Calculations'!$F$18+'AA Exact Masses'!$Q$2+'AA Exact Masses'!$Q$2-'Mass Ion Calculations'!$E$9-'Mass Ion Calculations'!$E27)/2-'Mass Ion Calculations'!$D$5),IF('Mass Ion Calculations'!$D$7="Yes", ('Mass Ion Calculations'!$D$15+'AA Exact Masses'!$Q$2+'AA Exact Masses'!$Q$2-'Mass Ion Calculations'!$C$9-'Mass Ion Calculations'!$C27)/2-'Mass Ion Calculations'!$D$5,('Mass Ion Calculations'!$F$15+'AA Exact Masses'!$Q$2+'AA Exact Masses'!$Q$2-'Mass Ion Calculations'!$E$9-'Mass Ion Calculations'!$E27)/2-'Mass Ion Calculations'!$D$5)))</f>
        <v/>
      </c>
      <c r="H26" s="3" t="str">
        <f>IF(OR($B26="",H$3=""),"",IF('Mass Ion Calculations'!$D$6="Yes",IF('Mass Ion Calculations'!$D$7="Yes",('Mass Ion Calculations'!$D$18+'AA Exact Masses'!$Q$2+'AA Exact Masses'!$Q$2-'Mass Ion Calculations'!$C$10-'Mass Ion Calculations'!$C27)/2-'Mass Ion Calculations'!$D$5,('Mass Ion Calculations'!$F$18+'AA Exact Masses'!$Q$2+'AA Exact Masses'!$Q$2-'Mass Ion Calculations'!$E$10-'Mass Ion Calculations'!$E27)/2-'Mass Ion Calculations'!$D$5),IF('Mass Ion Calculations'!$D$7="Yes", ('Mass Ion Calculations'!$D$15+'AA Exact Masses'!$Q$2+'AA Exact Masses'!$Q$2-'Mass Ion Calculations'!$C$10-'Mass Ion Calculations'!$C27)/2-'Mass Ion Calculations'!$D$5,('Mass Ion Calculations'!$F$15+'AA Exact Masses'!$Q$2+'AA Exact Masses'!$Q$2-'Mass Ion Calculations'!$E$10-'Mass Ion Calculations'!$E27)/2-'Mass Ion Calculations'!$D$5)))</f>
        <v/>
      </c>
      <c r="I26" s="3" t="str">
        <f>IF(OR($B26="",I$3=""),"",IF('Mass Ion Calculations'!$D$6="Yes",IF('Mass Ion Calculations'!$D$7="Yes",('Mass Ion Calculations'!$D$18+'AA Exact Masses'!$Q$2+'AA Exact Masses'!$Q$2-'Mass Ion Calculations'!$C$11-'Mass Ion Calculations'!$C27)/2-'Mass Ion Calculations'!$D$5,('Mass Ion Calculations'!$F$18+'AA Exact Masses'!$Q$2+'AA Exact Masses'!$Q$2-'Mass Ion Calculations'!$E$11-'Mass Ion Calculations'!$E27)/2-'Mass Ion Calculations'!$D$5),IF('Mass Ion Calculations'!$D$7="Yes", ('Mass Ion Calculations'!$D$15+'AA Exact Masses'!$Q$2+'AA Exact Masses'!$Q$2-'Mass Ion Calculations'!$C$11-'Mass Ion Calculations'!$C27)/2-'Mass Ion Calculations'!$D$5,('Mass Ion Calculations'!$F$15+'AA Exact Masses'!$Q$2+'AA Exact Masses'!$Q$2-'Mass Ion Calculations'!$E$11-'Mass Ion Calculations'!$E27)/2-'Mass Ion Calculations'!$D$5)))</f>
        <v/>
      </c>
      <c r="J26" s="3" t="str">
        <f>IF(OR($B26="",J$3=""),"",IF('Mass Ion Calculations'!$D$6="Yes",IF('Mass Ion Calculations'!$D$7="Yes",('Mass Ion Calculations'!$D$18+'AA Exact Masses'!$Q$2+'AA Exact Masses'!$Q$2-'Mass Ion Calculations'!$C$12-'Mass Ion Calculations'!$C27)/2-'Mass Ion Calculations'!$D$5,('Mass Ion Calculations'!$F$18+'AA Exact Masses'!$Q$2+'AA Exact Masses'!$Q$2-'Mass Ion Calculations'!$E$12-'Mass Ion Calculations'!$E27)/2-'Mass Ion Calculations'!$D$5),IF('Mass Ion Calculations'!$D$7="Yes", ('Mass Ion Calculations'!$D$15+'AA Exact Masses'!$Q$2+'AA Exact Masses'!$Q$2-'Mass Ion Calculations'!$C$12-'Mass Ion Calculations'!$C27)/2-'Mass Ion Calculations'!$D$5,('Mass Ion Calculations'!$F$15+'AA Exact Masses'!$Q$2+'AA Exact Masses'!$Q$2-'Mass Ion Calculations'!$E$12-'Mass Ion Calculations'!$E27)/2-'Mass Ion Calculations'!$D$5)))</f>
        <v/>
      </c>
      <c r="K26" s="3" t="str">
        <f>IF(OR($B26="",K$3=""),"",IF('Mass Ion Calculations'!$D$6="Yes",IF('Mass Ion Calculations'!$D$7="Yes",('Mass Ion Calculations'!$D$18+'AA Exact Masses'!$Q$2+'AA Exact Masses'!$Q$2-'Mass Ion Calculations'!$C$13-'Mass Ion Calculations'!$C27)/2-'Mass Ion Calculations'!$D$5,('Mass Ion Calculations'!$F$18+'AA Exact Masses'!$Q$2+'AA Exact Masses'!$Q$2-'Mass Ion Calculations'!$E$13-'Mass Ion Calculations'!$E27)/2-'Mass Ion Calculations'!$D$5),IF('Mass Ion Calculations'!$D$7="Yes", ('Mass Ion Calculations'!$D$15+'AA Exact Masses'!$Q$2+'AA Exact Masses'!$Q$2-'Mass Ion Calculations'!$C$13-'Mass Ion Calculations'!$C27)/2-'Mass Ion Calculations'!$D$5,('Mass Ion Calculations'!$F$15+'AA Exact Masses'!$Q$2+'AA Exact Masses'!$Q$2-'Mass Ion Calculations'!$E$13-'Mass Ion Calculations'!$E27)/2-'Mass Ion Calculations'!$D$5)))</f>
        <v/>
      </c>
      <c r="L26" s="3" t="str">
        <f>IF(OR($B26="",L$3=""),"",IF('Mass Ion Calculations'!$D$6="Yes",IF('Mass Ion Calculations'!$D$7="Yes",('Mass Ion Calculations'!$D$18+'AA Exact Masses'!$Q$2+'AA Exact Masses'!$Q$2-'Mass Ion Calculations'!$C$14-'Mass Ion Calculations'!$C27)/2-'Mass Ion Calculations'!$D$5,('Mass Ion Calculations'!$F$18+'AA Exact Masses'!$Q$2+'AA Exact Masses'!$Q$2-'Mass Ion Calculations'!$E$14-'Mass Ion Calculations'!$E27)/2-'Mass Ion Calculations'!$D$5),IF('Mass Ion Calculations'!$D$7="Yes", ('Mass Ion Calculations'!$D$15+'AA Exact Masses'!$Q$2+'AA Exact Masses'!$Q$2-'Mass Ion Calculations'!$C$14-'Mass Ion Calculations'!$C27)/2-'Mass Ion Calculations'!$D$5,('Mass Ion Calculations'!$F$15+'AA Exact Masses'!$Q$2+'AA Exact Masses'!$Q$2-'Mass Ion Calculations'!$E$14-'Mass Ion Calculations'!$E27)/2-'Mass Ion Calculations'!$D$5)))</f>
        <v/>
      </c>
      <c r="M26" s="3" t="str">
        <f>IF(OR($B26="",M$3=""),"",IF('Mass Ion Calculations'!$D$6="Yes",IF('Mass Ion Calculations'!$D$7="Yes",('Mass Ion Calculations'!$D$18+'AA Exact Masses'!$Q$2+'AA Exact Masses'!$Q$2-'Mass Ion Calculations'!$C$15-'Mass Ion Calculations'!$C27)/2-'Mass Ion Calculations'!$D$5,('Mass Ion Calculations'!$F$18+'AA Exact Masses'!$Q$2+'AA Exact Masses'!$Q$2-'Mass Ion Calculations'!$E$15-'Mass Ion Calculations'!$E27)/2-'Mass Ion Calculations'!$D$5),IF('Mass Ion Calculations'!$D$7="Yes", ('Mass Ion Calculations'!$D$15+'AA Exact Masses'!$Q$2+'AA Exact Masses'!$Q$2-'Mass Ion Calculations'!$C$15-'Mass Ion Calculations'!$C27)/2-'Mass Ion Calculations'!$D$5,('Mass Ion Calculations'!$F$15+'AA Exact Masses'!$Q$2+'AA Exact Masses'!$Q$2-'Mass Ion Calculations'!$E$15-'Mass Ion Calculations'!$E27)/2-'Mass Ion Calculations'!$D$5)))</f>
        <v/>
      </c>
      <c r="N26" s="3" t="str">
        <f>IF(OR($B26="",N$3=""),"",IF('Mass Ion Calculations'!$D$6="Yes",IF('Mass Ion Calculations'!$D$7="Yes",('Mass Ion Calculations'!$D$18+'AA Exact Masses'!$Q$2+'AA Exact Masses'!$Q$2-'Mass Ion Calculations'!$C$16-'Mass Ion Calculations'!$C27)/2-'Mass Ion Calculations'!$D$5,('Mass Ion Calculations'!$F$18+'AA Exact Masses'!$Q$2+'AA Exact Masses'!$Q$2-'Mass Ion Calculations'!$E$16-'Mass Ion Calculations'!$E27)/2-'Mass Ion Calculations'!$D$5),IF('Mass Ion Calculations'!$D$7="Yes", ('Mass Ion Calculations'!$D$15+'AA Exact Masses'!$Q$2+'AA Exact Masses'!$Q$2-'Mass Ion Calculations'!$C$16-'Mass Ion Calculations'!$C27)/2-'Mass Ion Calculations'!$D$5,('Mass Ion Calculations'!$F$15+'AA Exact Masses'!$Q$2+'AA Exact Masses'!$Q$2-'Mass Ion Calculations'!$E$16-'Mass Ion Calculations'!$E27)/2-'Mass Ion Calculations'!$D$5)))</f>
        <v/>
      </c>
      <c r="O26" s="3" t="str">
        <f>IF(OR($B26="",O$3=""),"",IF('Mass Ion Calculations'!$D$6="Yes",IF('Mass Ion Calculations'!$D$7="Yes",('Mass Ion Calculations'!$D$18+'AA Exact Masses'!$Q$2+'AA Exact Masses'!$Q$2-'Mass Ion Calculations'!$C$17-'Mass Ion Calculations'!$C27)/2-'Mass Ion Calculations'!$D$5,('Mass Ion Calculations'!$F$18+'AA Exact Masses'!$Q$2+'AA Exact Masses'!$Q$2-'Mass Ion Calculations'!$E$17-'Mass Ion Calculations'!$E27)/2-'Mass Ion Calculations'!$D$5),IF('Mass Ion Calculations'!$D$7="Yes", ('Mass Ion Calculations'!$D$15+'AA Exact Masses'!$Q$2+'AA Exact Masses'!$Q$2-'Mass Ion Calculations'!$C$17-'Mass Ion Calculations'!$C27)/2-'Mass Ion Calculations'!$D$5,('Mass Ion Calculations'!$F$15+'AA Exact Masses'!$Q$2+'AA Exact Masses'!$Q$2-'Mass Ion Calculations'!$E$17-'Mass Ion Calculations'!$E27)/2-'Mass Ion Calculations'!$D$5)))</f>
        <v/>
      </c>
      <c r="P26" s="3" t="str">
        <f>IF(OR($B26="",P$3=""),"",IF('Mass Ion Calculations'!$D$6="Yes",IF('Mass Ion Calculations'!$D$7="Yes",('Mass Ion Calculations'!$D$18+'AA Exact Masses'!$Q$2+'AA Exact Masses'!$Q$2-'Mass Ion Calculations'!$C$18-'Mass Ion Calculations'!$C27)/2-'Mass Ion Calculations'!$D$5,('Mass Ion Calculations'!$F$18+'AA Exact Masses'!$Q$2+'AA Exact Masses'!$Q$2-'Mass Ion Calculations'!$E$18-'Mass Ion Calculations'!$E27)/2-'Mass Ion Calculations'!$D$5),IF('Mass Ion Calculations'!$D$7="Yes", ('Mass Ion Calculations'!$D$15+'AA Exact Masses'!$Q$2+'AA Exact Masses'!$Q$2-'Mass Ion Calculations'!$C$18-'Mass Ion Calculations'!$C27)/2-'Mass Ion Calculations'!$D$5,('Mass Ion Calculations'!$F$15+'AA Exact Masses'!$Q$2+'AA Exact Masses'!$Q$2-'Mass Ion Calculations'!$E$18-'Mass Ion Calculations'!$E27)/2-'Mass Ion Calculations'!$D$5)))</f>
        <v/>
      </c>
      <c r="Q26" s="3" t="str">
        <f>IF(OR($B26="",Q$3=""),"",IF('Mass Ion Calculations'!$D$6="Yes",IF('Mass Ion Calculations'!$D$7="Yes",('Mass Ion Calculations'!$D$18+'AA Exact Masses'!$Q$2+'AA Exact Masses'!$Q$2-'Mass Ion Calculations'!$C$19-'Mass Ion Calculations'!$C27)/2-'Mass Ion Calculations'!$D$5,('Mass Ion Calculations'!$F$18+'AA Exact Masses'!$Q$2+'AA Exact Masses'!$Q$2-'Mass Ion Calculations'!$E$19-'Mass Ion Calculations'!$E27)/2-'Mass Ion Calculations'!$D$5),IF('Mass Ion Calculations'!$D$7="Yes", ('Mass Ion Calculations'!$D$15+'AA Exact Masses'!$Q$2+'AA Exact Masses'!$Q$2-'Mass Ion Calculations'!$C$19-'Mass Ion Calculations'!$C27)/2-'Mass Ion Calculations'!$D$5,('Mass Ion Calculations'!$F$15+'AA Exact Masses'!$Q$2+'AA Exact Masses'!$Q$2-'Mass Ion Calculations'!$E$19-'Mass Ion Calculations'!$E27)/2-'Mass Ion Calculations'!$D$5)))</f>
        <v/>
      </c>
      <c r="R26" s="3" t="str">
        <f>IF(OR($B26="",R$3=""),"",IF('Mass Ion Calculations'!$D$6="Yes",IF('Mass Ion Calculations'!$D$7="Yes",('Mass Ion Calculations'!$D$18+'AA Exact Masses'!$Q$2+'AA Exact Masses'!$Q$2-'Mass Ion Calculations'!$C$20-'Mass Ion Calculations'!$C27)/2-'Mass Ion Calculations'!$D$5,('Mass Ion Calculations'!$F$18+'AA Exact Masses'!$Q$2+'AA Exact Masses'!$Q$2-'Mass Ion Calculations'!$E$20-'Mass Ion Calculations'!$E27)/2-'Mass Ion Calculations'!$D$5),IF('Mass Ion Calculations'!$D$7="Yes", ('Mass Ion Calculations'!$D$15+'AA Exact Masses'!$Q$2+'AA Exact Masses'!$Q$2-'Mass Ion Calculations'!$C$20-'Mass Ion Calculations'!$C27)/2-'Mass Ion Calculations'!$D$5,('Mass Ion Calculations'!$F$15+'AA Exact Masses'!$Q$2+'AA Exact Masses'!$Q$2-'Mass Ion Calculations'!$E$20-'Mass Ion Calculations'!$E27)/2-'Mass Ion Calculations'!$D$5)))</f>
        <v/>
      </c>
      <c r="S26" s="3" t="str">
        <f>IF(OR($B26="",S$3=""),"",IF('Mass Ion Calculations'!$D$6="Yes",IF('Mass Ion Calculations'!$D$7="Yes",('Mass Ion Calculations'!$D$18+'AA Exact Masses'!$Q$2+'AA Exact Masses'!$Q$2-'Mass Ion Calculations'!$C$21-'Mass Ion Calculations'!$C27)/2-'Mass Ion Calculations'!$D$5,('Mass Ion Calculations'!$F$18+'AA Exact Masses'!$Q$2+'AA Exact Masses'!$Q$2-'Mass Ion Calculations'!$E$21-'Mass Ion Calculations'!$E27)/2-'Mass Ion Calculations'!$D$5),IF('Mass Ion Calculations'!$D$7="Yes", ('Mass Ion Calculations'!$D$15+'AA Exact Masses'!$Q$2+'AA Exact Masses'!$Q$2-'Mass Ion Calculations'!$C$21-'Mass Ion Calculations'!$C27)/2-'Mass Ion Calculations'!$D$5,('Mass Ion Calculations'!$F$15+'AA Exact Masses'!$Q$2+'AA Exact Masses'!$Q$2-'Mass Ion Calculations'!$E$21-'Mass Ion Calculations'!$E27)/2-'Mass Ion Calculations'!$D$5)))</f>
        <v/>
      </c>
      <c r="T26" s="3" t="str">
        <f>IF(OR($B26="",T$3=""),"",IF('Mass Ion Calculations'!$D$6="Yes",IF('Mass Ion Calculations'!$D$7="Yes",('Mass Ion Calculations'!$D$18+'AA Exact Masses'!$Q$2+'AA Exact Masses'!$Q$2-'Mass Ion Calculations'!$C$22-'Mass Ion Calculations'!$C27)/2-'Mass Ion Calculations'!$D$5,('Mass Ion Calculations'!$F$18+'AA Exact Masses'!$Q$2+'AA Exact Masses'!$Q$2-'Mass Ion Calculations'!$E$22-'Mass Ion Calculations'!$E27)/2-'Mass Ion Calculations'!$D$5),IF('Mass Ion Calculations'!$D$7="Yes", ('Mass Ion Calculations'!$D$15+'AA Exact Masses'!$Q$2+'AA Exact Masses'!$Q$2-'Mass Ion Calculations'!$C$22-'Mass Ion Calculations'!$C27)/2-'Mass Ion Calculations'!$D$5,('Mass Ion Calculations'!$F$15+'AA Exact Masses'!$Q$2+'AA Exact Masses'!$Q$2-'Mass Ion Calculations'!$E$22-'Mass Ion Calculations'!$E27)/2-'Mass Ion Calculations'!$D$5)))</f>
        <v/>
      </c>
      <c r="U26" s="3" t="str">
        <f>IF(OR($B26="",U$3=""),"",IF('Mass Ion Calculations'!$D$6="Yes",IF('Mass Ion Calculations'!$D$7="Yes",('Mass Ion Calculations'!$D$18+'AA Exact Masses'!$Q$2+'AA Exact Masses'!$Q$2-'Mass Ion Calculations'!$C$23-'Mass Ion Calculations'!$C27)/2-'Mass Ion Calculations'!$D$5,('Mass Ion Calculations'!$F$18+'AA Exact Masses'!$Q$2+'AA Exact Masses'!$Q$2-'Mass Ion Calculations'!$E$23-'Mass Ion Calculations'!$E27)/2-'Mass Ion Calculations'!$D$5),IF('Mass Ion Calculations'!$D$7="Yes", ('Mass Ion Calculations'!$D$15+'AA Exact Masses'!$Q$2+'AA Exact Masses'!$Q$2-'Mass Ion Calculations'!$C$23-'Mass Ion Calculations'!$C27)/2-'Mass Ion Calculations'!$D$5,('Mass Ion Calculations'!$F$15+'AA Exact Masses'!$Q$2+'AA Exact Masses'!$Q$2-'Mass Ion Calculations'!$E$23-'Mass Ion Calculations'!$E27)/2-'Mass Ion Calculations'!$D$5)))</f>
        <v/>
      </c>
      <c r="V26" s="3" t="str">
        <f>IF(OR($B26="",V$3=""),"",IF('Mass Ion Calculations'!$D$6="Yes",IF('Mass Ion Calculations'!$D$7="Yes",('Mass Ion Calculations'!$D$18+'AA Exact Masses'!$Q$2+'AA Exact Masses'!$Q$2-'Mass Ion Calculations'!$C$24-'Mass Ion Calculations'!$C27)/2-'Mass Ion Calculations'!$D$5,('Mass Ion Calculations'!$F$18+'AA Exact Masses'!$Q$2+'AA Exact Masses'!$Q$2-'Mass Ion Calculations'!$E$24-'Mass Ion Calculations'!$E27)/2-'Mass Ion Calculations'!$D$5),IF('Mass Ion Calculations'!$D$7="Yes", ('Mass Ion Calculations'!$D$15+'AA Exact Masses'!$Q$2+'AA Exact Masses'!$Q$2-'Mass Ion Calculations'!$C$24-'Mass Ion Calculations'!$C27)/2-'Mass Ion Calculations'!$D$5,('Mass Ion Calculations'!$F$15+'AA Exact Masses'!$Q$2+'AA Exact Masses'!$Q$2-'Mass Ion Calculations'!$E$24-'Mass Ion Calculations'!$E27)/2-'Mass Ion Calculations'!$D$5)))</f>
        <v/>
      </c>
      <c r="W26" s="3" t="str">
        <f>IF(OR($B26="",W$3=""),"",IF('Mass Ion Calculations'!$D$6="Yes",IF('Mass Ion Calculations'!$D$7="Yes",('Mass Ion Calculations'!$D$18+'AA Exact Masses'!$Q$2+'AA Exact Masses'!$Q$2-'Mass Ion Calculations'!$C$25-'Mass Ion Calculations'!$C27)/2-'Mass Ion Calculations'!$D$5,('Mass Ion Calculations'!$F$18+'AA Exact Masses'!$Q$2+'AA Exact Masses'!$Q$2-'Mass Ion Calculations'!$E$25-'Mass Ion Calculations'!$E27)/2-'Mass Ion Calculations'!$D$5),IF('Mass Ion Calculations'!$D$7="Yes", ('Mass Ion Calculations'!$D$15+'AA Exact Masses'!$Q$2+'AA Exact Masses'!$Q$2-'Mass Ion Calculations'!$C$25-'Mass Ion Calculations'!$C27)/2-'Mass Ion Calculations'!$D$5,('Mass Ion Calculations'!$F$15+'AA Exact Masses'!$Q$2+'AA Exact Masses'!$Q$2-'Mass Ion Calculations'!$E$25-'Mass Ion Calculations'!$E27)/2-'Mass Ion Calculations'!$D$5)))</f>
        <v/>
      </c>
      <c r="X26" s="3" t="str">
        <f>IF(OR($B26="",X$3=""),"",IF('Mass Ion Calculations'!$D$6="Yes",IF('Mass Ion Calculations'!$D$7="Yes",('Mass Ion Calculations'!$D$18+'AA Exact Masses'!$Q$2+'AA Exact Masses'!$Q$2-'Mass Ion Calculations'!$C$26-'Mass Ion Calculations'!$C27)/2-'Mass Ion Calculations'!$D$5,('Mass Ion Calculations'!$F$18+'AA Exact Masses'!$Q$2+'AA Exact Masses'!$Q$2-'Mass Ion Calculations'!$E$26-'Mass Ion Calculations'!$E27)/2-'Mass Ion Calculations'!$D$5),IF('Mass Ion Calculations'!$D$7="Yes", ('Mass Ion Calculations'!$D$15+'AA Exact Masses'!$Q$2+'AA Exact Masses'!$Q$2-'Mass Ion Calculations'!$C$26-'Mass Ion Calculations'!$C27)/2-'Mass Ion Calculations'!$D$5,('Mass Ion Calculations'!$F$15+'AA Exact Masses'!$Q$2+'AA Exact Masses'!$Q$2-'Mass Ion Calculations'!$E$26-'Mass Ion Calculations'!$E27)/2-'Mass Ion Calculations'!$D$5)))</f>
        <v/>
      </c>
      <c r="Y26" s="3" t="str">
        <f>IF(OR($B26="",Y$3=""),"",IF('Mass Ion Calculations'!$D$6="Yes",IF('Mass Ion Calculations'!$D$7="Yes",('Mass Ion Calculations'!$D$18+'AA Exact Masses'!$Q$2+'AA Exact Masses'!$Q$2-'Mass Ion Calculations'!$C$27-'Mass Ion Calculations'!$C27)/2-'Mass Ion Calculations'!$D$5,('Mass Ion Calculations'!$F$18+'AA Exact Masses'!$Q$2+'AA Exact Masses'!$Q$2-'Mass Ion Calculations'!$E$27-'Mass Ion Calculations'!$E27)/2-'Mass Ion Calculations'!$D$5),IF('Mass Ion Calculations'!$D$7="Yes", ('Mass Ion Calculations'!$D$15+'AA Exact Masses'!$Q$2+'AA Exact Masses'!$Q$2-'Mass Ion Calculations'!$C$27-'Mass Ion Calculations'!$C27)/2-'Mass Ion Calculations'!$D$5,('Mass Ion Calculations'!$F$15+'AA Exact Masses'!$Q$2+'AA Exact Masses'!$Q$2-'Mass Ion Calculations'!$E$27-'Mass Ion Calculations'!$E27)/2-'Mass Ion Calculations'!$D$5)))</f>
        <v/>
      </c>
      <c r="Z26" s="3" t="str">
        <f>IF(OR($B26="",Z$3=""),"",IF('Mass Ion Calculations'!$D$6="Yes",IF('Mass Ion Calculations'!$D$7="Yes",('Mass Ion Calculations'!$D$18+'AA Exact Masses'!$Q$2+'AA Exact Masses'!$Q$2-'Mass Ion Calculations'!$C$28-'Mass Ion Calculations'!$C27)/2-'Mass Ion Calculations'!$D$5,('Mass Ion Calculations'!$F$18+'AA Exact Masses'!$Q$2+'AA Exact Masses'!$Q$2-'Mass Ion Calculations'!$E$28-'Mass Ion Calculations'!$E27)/2-'Mass Ion Calculations'!$D$5),IF('Mass Ion Calculations'!$D$7="Yes", ('Mass Ion Calculations'!$D$15+'AA Exact Masses'!$Q$2+'AA Exact Masses'!$Q$2-'Mass Ion Calculations'!$C$28-'Mass Ion Calculations'!$C27)/2-'Mass Ion Calculations'!$D$5,('Mass Ion Calculations'!$F$15+'AA Exact Masses'!$Q$2+'AA Exact Masses'!$Q$2-'Mass Ion Calculations'!$E$28-'Mass Ion Calculations'!$E27)/2-'Mass Ion Calculations'!$D$5)))</f>
        <v/>
      </c>
    </row>
    <row r="27" spans="2:26" x14ac:dyDescent="0.25">
      <c r="C27" s="3" t="str">
        <f>IF(OR($B27="",C$3=""),"",IF('Mass Ion Calculations'!$D$6="Yes",IF('Mass Ion Calculations'!$D$7="Yes",('Mass Ion Calculations'!$D$18+'AA Exact Masses'!$Q$2+'AA Exact Masses'!$Q$2-'Mass Ion Calculations'!$C$5-'Mass Ion Calculations'!$C28)/2-'Mass Ion Calculations'!$D$5,('Mass Ion Calculations'!$F$18+'AA Exact Masses'!$Q$2+'AA Exact Masses'!$Q$2-'Mass Ion Calculations'!$E$5-'Mass Ion Calculations'!$E28)/2-'Mass Ion Calculations'!$D$5),IF('Mass Ion Calculations'!$D$7="Yes", ('Mass Ion Calculations'!$D$15+'AA Exact Masses'!$Q$2+'AA Exact Masses'!$Q$2-'Mass Ion Calculations'!$C$5-'Mass Ion Calculations'!$C28)/2-'Mass Ion Calculations'!$D$5,('Mass Ion Calculations'!$F$15+'AA Exact Masses'!$Q$2+'AA Exact Masses'!$Q$2-'Mass Ion Calculations'!$E$5-'Mass Ion Calculations'!$E28)/2-'Mass Ion Calculations'!$D$5)))</f>
        <v/>
      </c>
      <c r="D27" s="3" t="str">
        <f>IF(OR($B27="",D$3=""),"",IF('Mass Ion Calculations'!$D$6="Yes",IF('Mass Ion Calculations'!$D$7="Yes",('Mass Ion Calculations'!$D$18+'AA Exact Masses'!$Q$2+'AA Exact Masses'!$Q$2-'Mass Ion Calculations'!$C$6-'Mass Ion Calculations'!$C28)/2-'Mass Ion Calculations'!$D$5,('Mass Ion Calculations'!$F$18+'AA Exact Masses'!$Q$2+'AA Exact Masses'!$Q$2-'Mass Ion Calculations'!$E$6-'Mass Ion Calculations'!$E28)/2-'Mass Ion Calculations'!$D$5),IF('Mass Ion Calculations'!$D$7="Yes", ('Mass Ion Calculations'!$D$15+'AA Exact Masses'!$Q$2+'AA Exact Masses'!$Q$2-'Mass Ion Calculations'!$C$6-'Mass Ion Calculations'!$C28)/2-'Mass Ion Calculations'!$D$5,('Mass Ion Calculations'!$F$15+'AA Exact Masses'!$Q$2+'AA Exact Masses'!$Q$2-'Mass Ion Calculations'!$E$6-'Mass Ion Calculations'!$E28)/2-'Mass Ion Calculations'!$D$5)))</f>
        <v/>
      </c>
      <c r="E27" s="3" t="str">
        <f>IF(OR($B27="",E$3=""),"",IF('Mass Ion Calculations'!$D$6="Yes",IF('Mass Ion Calculations'!$D$7="Yes",('Mass Ion Calculations'!$D$18+'AA Exact Masses'!$Q$2+'AA Exact Masses'!$Q$2-'Mass Ion Calculations'!$C$7-'Mass Ion Calculations'!$C28)/2-'Mass Ion Calculations'!$D$5,('Mass Ion Calculations'!$F$18+'AA Exact Masses'!$Q$2+'AA Exact Masses'!$Q$2-'Mass Ion Calculations'!$E$7-'Mass Ion Calculations'!$E28)/2-'Mass Ion Calculations'!$D$5),IF('Mass Ion Calculations'!$D$7="Yes", ('Mass Ion Calculations'!$D$15+'AA Exact Masses'!$Q$2+'AA Exact Masses'!$Q$2-'Mass Ion Calculations'!$C$7-'Mass Ion Calculations'!$C28)/2-'Mass Ion Calculations'!$D$5,('Mass Ion Calculations'!$F$15+'AA Exact Masses'!$Q$2+'AA Exact Masses'!$Q$2-'Mass Ion Calculations'!$E$7-'Mass Ion Calculations'!$E28)/2-'Mass Ion Calculations'!$D$5)))</f>
        <v/>
      </c>
      <c r="F27" s="3" t="str">
        <f>IF(OR($B27="",F$3=""),"",IF('Mass Ion Calculations'!$D$6="Yes",IF('Mass Ion Calculations'!$D$7="Yes",('Mass Ion Calculations'!$D$18+'AA Exact Masses'!$Q$2+'AA Exact Masses'!$Q$2-'Mass Ion Calculations'!$C$8-'Mass Ion Calculations'!$C28)/2-'Mass Ion Calculations'!$D$5,('Mass Ion Calculations'!$F$18+'AA Exact Masses'!$Q$2+'AA Exact Masses'!$Q$2-'Mass Ion Calculations'!$E$8-'Mass Ion Calculations'!$E28)/2-'Mass Ion Calculations'!$D$5),IF('Mass Ion Calculations'!$D$7="Yes", ('Mass Ion Calculations'!$D$15+'AA Exact Masses'!$Q$2+'AA Exact Masses'!$Q$2-'Mass Ion Calculations'!$C$8-'Mass Ion Calculations'!$C28)/2-'Mass Ion Calculations'!$D$5,('Mass Ion Calculations'!$F$15+'AA Exact Masses'!$Q$2+'AA Exact Masses'!$Q$2-'Mass Ion Calculations'!$E$8-'Mass Ion Calculations'!$E28)/2-'Mass Ion Calculations'!$D$5)))</f>
        <v/>
      </c>
      <c r="G27" s="3" t="str">
        <f>IF(OR($B27="",G$3=""),"",IF('Mass Ion Calculations'!$D$6="Yes",IF('Mass Ion Calculations'!$D$7="Yes",('Mass Ion Calculations'!$D$18+'AA Exact Masses'!$Q$2+'AA Exact Masses'!$Q$2-'Mass Ion Calculations'!$C$9-'Mass Ion Calculations'!$C28)/2-'Mass Ion Calculations'!$D$5,('Mass Ion Calculations'!$F$18+'AA Exact Masses'!$Q$2+'AA Exact Masses'!$Q$2-'Mass Ion Calculations'!$E$9-'Mass Ion Calculations'!$E28)/2-'Mass Ion Calculations'!$D$5),IF('Mass Ion Calculations'!$D$7="Yes", ('Mass Ion Calculations'!$D$15+'AA Exact Masses'!$Q$2+'AA Exact Masses'!$Q$2-'Mass Ion Calculations'!$C$9-'Mass Ion Calculations'!$C28)/2-'Mass Ion Calculations'!$D$5,('Mass Ion Calculations'!$F$15+'AA Exact Masses'!$Q$2+'AA Exact Masses'!$Q$2-'Mass Ion Calculations'!$E$9-'Mass Ion Calculations'!$E28)/2-'Mass Ion Calculations'!$D$5)))</f>
        <v/>
      </c>
      <c r="H27" s="3" t="str">
        <f>IF(OR($B27="",H$3=""),"",IF('Mass Ion Calculations'!$D$6="Yes",IF('Mass Ion Calculations'!$D$7="Yes",('Mass Ion Calculations'!$D$18+'AA Exact Masses'!$Q$2+'AA Exact Masses'!$Q$2-'Mass Ion Calculations'!$C$10-'Mass Ion Calculations'!$C28)/2-'Mass Ion Calculations'!$D$5,('Mass Ion Calculations'!$F$18+'AA Exact Masses'!$Q$2+'AA Exact Masses'!$Q$2-'Mass Ion Calculations'!$E$10-'Mass Ion Calculations'!$E28)/2-'Mass Ion Calculations'!$D$5),IF('Mass Ion Calculations'!$D$7="Yes", ('Mass Ion Calculations'!$D$15+'AA Exact Masses'!$Q$2+'AA Exact Masses'!$Q$2-'Mass Ion Calculations'!$C$10-'Mass Ion Calculations'!$C28)/2-'Mass Ion Calculations'!$D$5,('Mass Ion Calculations'!$F$15+'AA Exact Masses'!$Q$2+'AA Exact Masses'!$Q$2-'Mass Ion Calculations'!$E$10-'Mass Ion Calculations'!$E28)/2-'Mass Ion Calculations'!$D$5)))</f>
        <v/>
      </c>
      <c r="I27" s="3" t="str">
        <f>IF(OR($B27="",I$3=""),"",IF('Mass Ion Calculations'!$D$6="Yes",IF('Mass Ion Calculations'!$D$7="Yes",('Mass Ion Calculations'!$D$18+'AA Exact Masses'!$Q$2+'AA Exact Masses'!$Q$2-'Mass Ion Calculations'!$C$11-'Mass Ion Calculations'!$C28)/2-'Mass Ion Calculations'!$D$5,('Mass Ion Calculations'!$F$18+'AA Exact Masses'!$Q$2+'AA Exact Masses'!$Q$2-'Mass Ion Calculations'!$E$11-'Mass Ion Calculations'!$E28)/2-'Mass Ion Calculations'!$D$5),IF('Mass Ion Calculations'!$D$7="Yes", ('Mass Ion Calculations'!$D$15+'AA Exact Masses'!$Q$2+'AA Exact Masses'!$Q$2-'Mass Ion Calculations'!$C$11-'Mass Ion Calculations'!$C28)/2-'Mass Ion Calculations'!$D$5,('Mass Ion Calculations'!$F$15+'AA Exact Masses'!$Q$2+'AA Exact Masses'!$Q$2-'Mass Ion Calculations'!$E$11-'Mass Ion Calculations'!$E28)/2-'Mass Ion Calculations'!$D$5)))</f>
        <v/>
      </c>
      <c r="J27" s="3" t="str">
        <f>IF(OR($B27="",J$3=""),"",IF('Mass Ion Calculations'!$D$6="Yes",IF('Mass Ion Calculations'!$D$7="Yes",('Mass Ion Calculations'!$D$18+'AA Exact Masses'!$Q$2+'AA Exact Masses'!$Q$2-'Mass Ion Calculations'!$C$12-'Mass Ion Calculations'!$C28)/2-'Mass Ion Calculations'!$D$5,('Mass Ion Calculations'!$F$18+'AA Exact Masses'!$Q$2+'AA Exact Masses'!$Q$2-'Mass Ion Calculations'!$E$12-'Mass Ion Calculations'!$E28)/2-'Mass Ion Calculations'!$D$5),IF('Mass Ion Calculations'!$D$7="Yes", ('Mass Ion Calculations'!$D$15+'AA Exact Masses'!$Q$2+'AA Exact Masses'!$Q$2-'Mass Ion Calculations'!$C$12-'Mass Ion Calculations'!$C28)/2-'Mass Ion Calculations'!$D$5,('Mass Ion Calculations'!$F$15+'AA Exact Masses'!$Q$2+'AA Exact Masses'!$Q$2-'Mass Ion Calculations'!$E$12-'Mass Ion Calculations'!$E28)/2-'Mass Ion Calculations'!$D$5)))</f>
        <v/>
      </c>
      <c r="K27" s="3" t="str">
        <f>IF(OR($B27="",K$3=""),"",IF('Mass Ion Calculations'!$D$6="Yes",IF('Mass Ion Calculations'!$D$7="Yes",('Mass Ion Calculations'!$D$18+'AA Exact Masses'!$Q$2+'AA Exact Masses'!$Q$2-'Mass Ion Calculations'!$C$13-'Mass Ion Calculations'!$C28)/2-'Mass Ion Calculations'!$D$5,('Mass Ion Calculations'!$F$18+'AA Exact Masses'!$Q$2+'AA Exact Masses'!$Q$2-'Mass Ion Calculations'!$E$13-'Mass Ion Calculations'!$E28)/2-'Mass Ion Calculations'!$D$5),IF('Mass Ion Calculations'!$D$7="Yes", ('Mass Ion Calculations'!$D$15+'AA Exact Masses'!$Q$2+'AA Exact Masses'!$Q$2-'Mass Ion Calculations'!$C$13-'Mass Ion Calculations'!$C28)/2-'Mass Ion Calculations'!$D$5,('Mass Ion Calculations'!$F$15+'AA Exact Masses'!$Q$2+'AA Exact Masses'!$Q$2-'Mass Ion Calculations'!$E$13-'Mass Ion Calculations'!$E28)/2-'Mass Ion Calculations'!$D$5)))</f>
        <v/>
      </c>
      <c r="L27" s="3" t="str">
        <f>IF(OR($B27="",L$3=""),"",IF('Mass Ion Calculations'!$D$6="Yes",IF('Mass Ion Calculations'!$D$7="Yes",('Mass Ion Calculations'!$D$18+'AA Exact Masses'!$Q$2+'AA Exact Masses'!$Q$2-'Mass Ion Calculations'!$C$14-'Mass Ion Calculations'!$C28)/2-'Mass Ion Calculations'!$D$5,('Mass Ion Calculations'!$F$18+'AA Exact Masses'!$Q$2+'AA Exact Masses'!$Q$2-'Mass Ion Calculations'!$E$14-'Mass Ion Calculations'!$E28)/2-'Mass Ion Calculations'!$D$5),IF('Mass Ion Calculations'!$D$7="Yes", ('Mass Ion Calculations'!$D$15+'AA Exact Masses'!$Q$2+'AA Exact Masses'!$Q$2-'Mass Ion Calculations'!$C$14-'Mass Ion Calculations'!$C28)/2-'Mass Ion Calculations'!$D$5,('Mass Ion Calculations'!$F$15+'AA Exact Masses'!$Q$2+'AA Exact Masses'!$Q$2-'Mass Ion Calculations'!$E$14-'Mass Ion Calculations'!$E28)/2-'Mass Ion Calculations'!$D$5)))</f>
        <v/>
      </c>
      <c r="M27" s="3" t="str">
        <f>IF(OR($B27="",M$3=""),"",IF('Mass Ion Calculations'!$D$6="Yes",IF('Mass Ion Calculations'!$D$7="Yes",('Mass Ion Calculations'!$D$18+'AA Exact Masses'!$Q$2+'AA Exact Masses'!$Q$2-'Mass Ion Calculations'!$C$15-'Mass Ion Calculations'!$C28)/2-'Mass Ion Calculations'!$D$5,('Mass Ion Calculations'!$F$18+'AA Exact Masses'!$Q$2+'AA Exact Masses'!$Q$2-'Mass Ion Calculations'!$E$15-'Mass Ion Calculations'!$E28)/2-'Mass Ion Calculations'!$D$5),IF('Mass Ion Calculations'!$D$7="Yes", ('Mass Ion Calculations'!$D$15+'AA Exact Masses'!$Q$2+'AA Exact Masses'!$Q$2-'Mass Ion Calculations'!$C$15-'Mass Ion Calculations'!$C28)/2-'Mass Ion Calculations'!$D$5,('Mass Ion Calculations'!$F$15+'AA Exact Masses'!$Q$2+'AA Exact Masses'!$Q$2-'Mass Ion Calculations'!$E$15-'Mass Ion Calculations'!$E28)/2-'Mass Ion Calculations'!$D$5)))</f>
        <v/>
      </c>
      <c r="N27" s="3" t="str">
        <f>IF(OR($B27="",N$3=""),"",IF('Mass Ion Calculations'!$D$6="Yes",IF('Mass Ion Calculations'!$D$7="Yes",('Mass Ion Calculations'!$D$18+'AA Exact Masses'!$Q$2+'AA Exact Masses'!$Q$2-'Mass Ion Calculations'!$C$16-'Mass Ion Calculations'!$C28)/2-'Mass Ion Calculations'!$D$5,('Mass Ion Calculations'!$F$18+'AA Exact Masses'!$Q$2+'AA Exact Masses'!$Q$2-'Mass Ion Calculations'!$E$16-'Mass Ion Calculations'!$E28)/2-'Mass Ion Calculations'!$D$5),IF('Mass Ion Calculations'!$D$7="Yes", ('Mass Ion Calculations'!$D$15+'AA Exact Masses'!$Q$2+'AA Exact Masses'!$Q$2-'Mass Ion Calculations'!$C$16-'Mass Ion Calculations'!$C28)/2-'Mass Ion Calculations'!$D$5,('Mass Ion Calculations'!$F$15+'AA Exact Masses'!$Q$2+'AA Exact Masses'!$Q$2-'Mass Ion Calculations'!$E$16-'Mass Ion Calculations'!$E28)/2-'Mass Ion Calculations'!$D$5)))</f>
        <v/>
      </c>
      <c r="O27" s="3" t="str">
        <f>IF(OR($B27="",O$3=""),"",IF('Mass Ion Calculations'!$D$6="Yes",IF('Mass Ion Calculations'!$D$7="Yes",('Mass Ion Calculations'!$D$18+'AA Exact Masses'!$Q$2+'AA Exact Masses'!$Q$2-'Mass Ion Calculations'!$C$17-'Mass Ion Calculations'!$C28)/2-'Mass Ion Calculations'!$D$5,('Mass Ion Calculations'!$F$18+'AA Exact Masses'!$Q$2+'AA Exact Masses'!$Q$2-'Mass Ion Calculations'!$E$17-'Mass Ion Calculations'!$E28)/2-'Mass Ion Calculations'!$D$5),IF('Mass Ion Calculations'!$D$7="Yes", ('Mass Ion Calculations'!$D$15+'AA Exact Masses'!$Q$2+'AA Exact Masses'!$Q$2-'Mass Ion Calculations'!$C$17-'Mass Ion Calculations'!$C28)/2-'Mass Ion Calculations'!$D$5,('Mass Ion Calculations'!$F$15+'AA Exact Masses'!$Q$2+'AA Exact Masses'!$Q$2-'Mass Ion Calculations'!$E$17-'Mass Ion Calculations'!$E28)/2-'Mass Ion Calculations'!$D$5)))</f>
        <v/>
      </c>
      <c r="P27" s="3" t="str">
        <f>IF(OR($B27="",P$3=""),"",IF('Mass Ion Calculations'!$D$6="Yes",IF('Mass Ion Calculations'!$D$7="Yes",('Mass Ion Calculations'!$D$18+'AA Exact Masses'!$Q$2+'AA Exact Masses'!$Q$2-'Mass Ion Calculations'!$C$18-'Mass Ion Calculations'!$C28)/2-'Mass Ion Calculations'!$D$5,('Mass Ion Calculations'!$F$18+'AA Exact Masses'!$Q$2+'AA Exact Masses'!$Q$2-'Mass Ion Calculations'!$E$18-'Mass Ion Calculations'!$E28)/2-'Mass Ion Calculations'!$D$5),IF('Mass Ion Calculations'!$D$7="Yes", ('Mass Ion Calculations'!$D$15+'AA Exact Masses'!$Q$2+'AA Exact Masses'!$Q$2-'Mass Ion Calculations'!$C$18-'Mass Ion Calculations'!$C28)/2-'Mass Ion Calculations'!$D$5,('Mass Ion Calculations'!$F$15+'AA Exact Masses'!$Q$2+'AA Exact Masses'!$Q$2-'Mass Ion Calculations'!$E$18-'Mass Ion Calculations'!$E28)/2-'Mass Ion Calculations'!$D$5)))</f>
        <v/>
      </c>
      <c r="Q27" s="3" t="str">
        <f>IF(OR($B27="",Q$3=""),"",IF('Mass Ion Calculations'!$D$6="Yes",IF('Mass Ion Calculations'!$D$7="Yes",('Mass Ion Calculations'!$D$18+'AA Exact Masses'!$Q$2+'AA Exact Masses'!$Q$2-'Mass Ion Calculations'!$C$19-'Mass Ion Calculations'!$C28)/2-'Mass Ion Calculations'!$D$5,('Mass Ion Calculations'!$F$18+'AA Exact Masses'!$Q$2+'AA Exact Masses'!$Q$2-'Mass Ion Calculations'!$E$19-'Mass Ion Calculations'!$E28)/2-'Mass Ion Calculations'!$D$5),IF('Mass Ion Calculations'!$D$7="Yes", ('Mass Ion Calculations'!$D$15+'AA Exact Masses'!$Q$2+'AA Exact Masses'!$Q$2-'Mass Ion Calculations'!$C$19-'Mass Ion Calculations'!$C28)/2-'Mass Ion Calculations'!$D$5,('Mass Ion Calculations'!$F$15+'AA Exact Masses'!$Q$2+'AA Exact Masses'!$Q$2-'Mass Ion Calculations'!$E$19-'Mass Ion Calculations'!$E28)/2-'Mass Ion Calculations'!$D$5)))</f>
        <v/>
      </c>
      <c r="R27" s="3" t="str">
        <f>IF(OR($B27="",R$3=""),"",IF('Mass Ion Calculations'!$D$6="Yes",IF('Mass Ion Calculations'!$D$7="Yes",('Mass Ion Calculations'!$D$18+'AA Exact Masses'!$Q$2+'AA Exact Masses'!$Q$2-'Mass Ion Calculations'!$C$20-'Mass Ion Calculations'!$C28)/2-'Mass Ion Calculations'!$D$5,('Mass Ion Calculations'!$F$18+'AA Exact Masses'!$Q$2+'AA Exact Masses'!$Q$2-'Mass Ion Calculations'!$E$20-'Mass Ion Calculations'!$E28)/2-'Mass Ion Calculations'!$D$5),IF('Mass Ion Calculations'!$D$7="Yes", ('Mass Ion Calculations'!$D$15+'AA Exact Masses'!$Q$2+'AA Exact Masses'!$Q$2-'Mass Ion Calculations'!$C$20-'Mass Ion Calculations'!$C28)/2-'Mass Ion Calculations'!$D$5,('Mass Ion Calculations'!$F$15+'AA Exact Masses'!$Q$2+'AA Exact Masses'!$Q$2-'Mass Ion Calculations'!$E$20-'Mass Ion Calculations'!$E28)/2-'Mass Ion Calculations'!$D$5)))</f>
        <v/>
      </c>
      <c r="S27" s="3" t="str">
        <f>IF(OR($B27="",S$3=""),"",IF('Mass Ion Calculations'!$D$6="Yes",IF('Mass Ion Calculations'!$D$7="Yes",('Mass Ion Calculations'!$D$18+'AA Exact Masses'!$Q$2+'AA Exact Masses'!$Q$2-'Mass Ion Calculations'!$C$21-'Mass Ion Calculations'!$C28)/2-'Mass Ion Calculations'!$D$5,('Mass Ion Calculations'!$F$18+'AA Exact Masses'!$Q$2+'AA Exact Masses'!$Q$2-'Mass Ion Calculations'!$E$21-'Mass Ion Calculations'!$E28)/2-'Mass Ion Calculations'!$D$5),IF('Mass Ion Calculations'!$D$7="Yes", ('Mass Ion Calculations'!$D$15+'AA Exact Masses'!$Q$2+'AA Exact Masses'!$Q$2-'Mass Ion Calculations'!$C$21-'Mass Ion Calculations'!$C28)/2-'Mass Ion Calculations'!$D$5,('Mass Ion Calculations'!$F$15+'AA Exact Masses'!$Q$2+'AA Exact Masses'!$Q$2-'Mass Ion Calculations'!$E$21-'Mass Ion Calculations'!$E28)/2-'Mass Ion Calculations'!$D$5)))</f>
        <v/>
      </c>
      <c r="T27" s="3" t="str">
        <f>IF(OR($B27="",T$3=""),"",IF('Mass Ion Calculations'!$D$6="Yes",IF('Mass Ion Calculations'!$D$7="Yes",('Mass Ion Calculations'!$D$18+'AA Exact Masses'!$Q$2+'AA Exact Masses'!$Q$2-'Mass Ion Calculations'!$C$22-'Mass Ion Calculations'!$C28)/2-'Mass Ion Calculations'!$D$5,('Mass Ion Calculations'!$F$18+'AA Exact Masses'!$Q$2+'AA Exact Masses'!$Q$2-'Mass Ion Calculations'!$E$22-'Mass Ion Calculations'!$E28)/2-'Mass Ion Calculations'!$D$5),IF('Mass Ion Calculations'!$D$7="Yes", ('Mass Ion Calculations'!$D$15+'AA Exact Masses'!$Q$2+'AA Exact Masses'!$Q$2-'Mass Ion Calculations'!$C$22-'Mass Ion Calculations'!$C28)/2-'Mass Ion Calculations'!$D$5,('Mass Ion Calculations'!$F$15+'AA Exact Masses'!$Q$2+'AA Exact Masses'!$Q$2-'Mass Ion Calculations'!$E$22-'Mass Ion Calculations'!$E28)/2-'Mass Ion Calculations'!$D$5)))</f>
        <v/>
      </c>
      <c r="U27" s="3" t="str">
        <f>IF(OR($B27="",U$3=""),"",IF('Mass Ion Calculations'!$D$6="Yes",IF('Mass Ion Calculations'!$D$7="Yes",('Mass Ion Calculations'!$D$18+'AA Exact Masses'!$Q$2+'AA Exact Masses'!$Q$2-'Mass Ion Calculations'!$C$23-'Mass Ion Calculations'!$C28)/2-'Mass Ion Calculations'!$D$5,('Mass Ion Calculations'!$F$18+'AA Exact Masses'!$Q$2+'AA Exact Masses'!$Q$2-'Mass Ion Calculations'!$E$23-'Mass Ion Calculations'!$E28)/2-'Mass Ion Calculations'!$D$5),IF('Mass Ion Calculations'!$D$7="Yes", ('Mass Ion Calculations'!$D$15+'AA Exact Masses'!$Q$2+'AA Exact Masses'!$Q$2-'Mass Ion Calculations'!$C$23-'Mass Ion Calculations'!$C28)/2-'Mass Ion Calculations'!$D$5,('Mass Ion Calculations'!$F$15+'AA Exact Masses'!$Q$2+'AA Exact Masses'!$Q$2-'Mass Ion Calculations'!$E$23-'Mass Ion Calculations'!$E28)/2-'Mass Ion Calculations'!$D$5)))</f>
        <v/>
      </c>
      <c r="V27" s="3" t="str">
        <f>IF(OR($B27="",V$3=""),"",IF('Mass Ion Calculations'!$D$6="Yes",IF('Mass Ion Calculations'!$D$7="Yes",('Mass Ion Calculations'!$D$18+'AA Exact Masses'!$Q$2+'AA Exact Masses'!$Q$2-'Mass Ion Calculations'!$C$24-'Mass Ion Calculations'!$C28)/2-'Mass Ion Calculations'!$D$5,('Mass Ion Calculations'!$F$18+'AA Exact Masses'!$Q$2+'AA Exact Masses'!$Q$2-'Mass Ion Calculations'!$E$24-'Mass Ion Calculations'!$E28)/2-'Mass Ion Calculations'!$D$5),IF('Mass Ion Calculations'!$D$7="Yes", ('Mass Ion Calculations'!$D$15+'AA Exact Masses'!$Q$2+'AA Exact Masses'!$Q$2-'Mass Ion Calculations'!$C$24-'Mass Ion Calculations'!$C28)/2-'Mass Ion Calculations'!$D$5,('Mass Ion Calculations'!$F$15+'AA Exact Masses'!$Q$2+'AA Exact Masses'!$Q$2-'Mass Ion Calculations'!$E$24-'Mass Ion Calculations'!$E28)/2-'Mass Ion Calculations'!$D$5)))</f>
        <v/>
      </c>
      <c r="W27" s="3" t="str">
        <f>IF(OR($B27="",W$3=""),"",IF('Mass Ion Calculations'!$D$6="Yes",IF('Mass Ion Calculations'!$D$7="Yes",('Mass Ion Calculations'!$D$18+'AA Exact Masses'!$Q$2+'AA Exact Masses'!$Q$2-'Mass Ion Calculations'!$C$25-'Mass Ion Calculations'!$C28)/2-'Mass Ion Calculations'!$D$5,('Mass Ion Calculations'!$F$18+'AA Exact Masses'!$Q$2+'AA Exact Masses'!$Q$2-'Mass Ion Calculations'!$E$25-'Mass Ion Calculations'!$E28)/2-'Mass Ion Calculations'!$D$5),IF('Mass Ion Calculations'!$D$7="Yes", ('Mass Ion Calculations'!$D$15+'AA Exact Masses'!$Q$2+'AA Exact Masses'!$Q$2-'Mass Ion Calculations'!$C$25-'Mass Ion Calculations'!$C28)/2-'Mass Ion Calculations'!$D$5,('Mass Ion Calculations'!$F$15+'AA Exact Masses'!$Q$2+'AA Exact Masses'!$Q$2-'Mass Ion Calculations'!$E$25-'Mass Ion Calculations'!$E28)/2-'Mass Ion Calculations'!$D$5)))</f>
        <v/>
      </c>
      <c r="X27" s="3" t="str">
        <f>IF(OR($B27="",X$3=""),"",IF('Mass Ion Calculations'!$D$6="Yes",IF('Mass Ion Calculations'!$D$7="Yes",('Mass Ion Calculations'!$D$18+'AA Exact Masses'!$Q$2+'AA Exact Masses'!$Q$2-'Mass Ion Calculations'!$C$26-'Mass Ion Calculations'!$C28)/2-'Mass Ion Calculations'!$D$5,('Mass Ion Calculations'!$F$18+'AA Exact Masses'!$Q$2+'AA Exact Masses'!$Q$2-'Mass Ion Calculations'!$E$26-'Mass Ion Calculations'!$E28)/2-'Mass Ion Calculations'!$D$5),IF('Mass Ion Calculations'!$D$7="Yes", ('Mass Ion Calculations'!$D$15+'AA Exact Masses'!$Q$2+'AA Exact Masses'!$Q$2-'Mass Ion Calculations'!$C$26-'Mass Ion Calculations'!$C28)/2-'Mass Ion Calculations'!$D$5,('Mass Ion Calculations'!$F$15+'AA Exact Masses'!$Q$2+'AA Exact Masses'!$Q$2-'Mass Ion Calculations'!$E$26-'Mass Ion Calculations'!$E28)/2-'Mass Ion Calculations'!$D$5)))</f>
        <v/>
      </c>
      <c r="Y27" s="3" t="str">
        <f>IF(OR($B27="",Y$3=""),"",IF('Mass Ion Calculations'!$D$6="Yes",IF('Mass Ion Calculations'!$D$7="Yes",('Mass Ion Calculations'!$D$18+'AA Exact Masses'!$Q$2+'AA Exact Masses'!$Q$2-'Mass Ion Calculations'!$C$27-'Mass Ion Calculations'!$C28)/2-'Mass Ion Calculations'!$D$5,('Mass Ion Calculations'!$F$18+'AA Exact Masses'!$Q$2+'AA Exact Masses'!$Q$2-'Mass Ion Calculations'!$E$27-'Mass Ion Calculations'!$E28)/2-'Mass Ion Calculations'!$D$5),IF('Mass Ion Calculations'!$D$7="Yes", ('Mass Ion Calculations'!$D$15+'AA Exact Masses'!$Q$2+'AA Exact Masses'!$Q$2-'Mass Ion Calculations'!$C$27-'Mass Ion Calculations'!$C28)/2-'Mass Ion Calculations'!$D$5,('Mass Ion Calculations'!$F$15+'AA Exact Masses'!$Q$2+'AA Exact Masses'!$Q$2-'Mass Ion Calculations'!$E$27-'Mass Ion Calculations'!$E28)/2-'Mass Ion Calculations'!$D$5)))</f>
        <v/>
      </c>
      <c r="Z27" s="3" t="str">
        <f>IF(OR($B27="",Z$3=""),"",IF('Mass Ion Calculations'!$D$6="Yes",IF('Mass Ion Calculations'!$D$7="Yes",('Mass Ion Calculations'!$D$18+'AA Exact Masses'!$Q$2+'AA Exact Masses'!$Q$2-'Mass Ion Calculations'!$C$28-'Mass Ion Calculations'!$C28)/2-'Mass Ion Calculations'!$D$5,('Mass Ion Calculations'!$F$18+'AA Exact Masses'!$Q$2+'AA Exact Masses'!$Q$2-'Mass Ion Calculations'!$E$28-'Mass Ion Calculations'!$E28)/2-'Mass Ion Calculations'!$D$5),IF('Mass Ion Calculations'!$D$7="Yes", ('Mass Ion Calculations'!$D$15+'AA Exact Masses'!$Q$2+'AA Exact Masses'!$Q$2-'Mass Ion Calculations'!$C$28-'Mass Ion Calculations'!$C28)/2-'Mass Ion Calculations'!$D$5,('Mass Ion Calculations'!$F$15+'AA Exact Masses'!$Q$2+'AA Exact Masses'!$Q$2-'Mass Ion Calculations'!$E$28-'Mass Ion Calculations'!$E28)/2-'Mass Ion Calculations'!$D$5)))</f>
        <v/>
      </c>
    </row>
    <row r="28" spans="2:26" x14ac:dyDescent="0.25">
      <c r="C28" s="3" t="str">
        <f>IF(OR($B28="",C$3=""),"",IF('Mass Ion Calculations'!$D$6="Yes",IF('Mass Ion Calculations'!$D$7="Yes",('Mass Ion Calculations'!$D$18+'AA Exact Masses'!$Q$2+'AA Exact Masses'!$Q$2-'Mass Ion Calculations'!$C$5-'Mass Ion Calculations'!$C29)/2-'Mass Ion Calculations'!$D$5,('Mass Ion Calculations'!$F$18+'AA Exact Masses'!$Q$2+'AA Exact Masses'!$Q$2-'Mass Ion Calculations'!$E$5-'Mass Ion Calculations'!$E29)/2-'Mass Ion Calculations'!$D$5),IF('Mass Ion Calculations'!$D$7="Yes", ('Mass Ion Calculations'!$D$15+'AA Exact Masses'!$Q$2+'AA Exact Masses'!$Q$2-'Mass Ion Calculations'!$C$5-'Mass Ion Calculations'!$C29)/2-'Mass Ion Calculations'!$D$5,('Mass Ion Calculations'!$F$15+'AA Exact Masses'!$Q$2+'AA Exact Masses'!$Q$2-'Mass Ion Calculations'!$E$5-'Mass Ion Calculations'!$E29)/2-'Mass Ion Calculations'!$D$5)))</f>
        <v/>
      </c>
      <c r="D28" s="3" t="str">
        <f>IF(OR($B28="",D$3=""),"",IF('Mass Ion Calculations'!$D$6="Yes",IF('Mass Ion Calculations'!$D$7="Yes",('Mass Ion Calculations'!$D$18+'AA Exact Masses'!$Q$2+'AA Exact Masses'!$Q$2-'Mass Ion Calculations'!$C$6-'Mass Ion Calculations'!$C29)/2-'Mass Ion Calculations'!$D$5,('Mass Ion Calculations'!$F$18+'AA Exact Masses'!$Q$2+'AA Exact Masses'!$Q$2-'Mass Ion Calculations'!$E$6-'Mass Ion Calculations'!$E29)/2-'Mass Ion Calculations'!$D$5),IF('Mass Ion Calculations'!$D$7="Yes", ('Mass Ion Calculations'!$D$15+'AA Exact Masses'!$Q$2+'AA Exact Masses'!$Q$2-'Mass Ion Calculations'!$C$6-'Mass Ion Calculations'!$C29)/2-'Mass Ion Calculations'!$D$5,('Mass Ion Calculations'!$F$15+'AA Exact Masses'!$Q$2+'AA Exact Masses'!$Q$2-'Mass Ion Calculations'!$E$6-'Mass Ion Calculations'!$E29)/2-'Mass Ion Calculations'!$D$5)))</f>
        <v/>
      </c>
      <c r="E28" s="3" t="str">
        <f>IF(OR($B28="",E$3=""),"",IF('Mass Ion Calculations'!$D$6="Yes",IF('Mass Ion Calculations'!$D$7="Yes",('Mass Ion Calculations'!$D$18+'AA Exact Masses'!$Q$2+'AA Exact Masses'!$Q$2-'Mass Ion Calculations'!$C$7-'Mass Ion Calculations'!$C29)/2-'Mass Ion Calculations'!$D$5,('Mass Ion Calculations'!$F$18+'AA Exact Masses'!$Q$2+'AA Exact Masses'!$Q$2-'Mass Ion Calculations'!$E$7-'Mass Ion Calculations'!$E29)/2-'Mass Ion Calculations'!$D$5),IF('Mass Ion Calculations'!$D$7="Yes", ('Mass Ion Calculations'!$D$15+'AA Exact Masses'!$Q$2+'AA Exact Masses'!$Q$2-'Mass Ion Calculations'!$C$7-'Mass Ion Calculations'!$C29)/2-'Mass Ion Calculations'!$D$5,('Mass Ion Calculations'!$F$15+'AA Exact Masses'!$Q$2+'AA Exact Masses'!$Q$2-'Mass Ion Calculations'!$E$7-'Mass Ion Calculations'!$E29)/2-'Mass Ion Calculations'!$D$5)))</f>
        <v/>
      </c>
      <c r="F28" s="3" t="str">
        <f>IF(OR($B28="",F$3=""),"",IF('Mass Ion Calculations'!$D$6="Yes",IF('Mass Ion Calculations'!$D$7="Yes",('Mass Ion Calculations'!$D$18+'AA Exact Masses'!$Q$2+'AA Exact Masses'!$Q$2-'Mass Ion Calculations'!$C$8-'Mass Ion Calculations'!$C29)/2-'Mass Ion Calculations'!$D$5,('Mass Ion Calculations'!$F$18+'AA Exact Masses'!$Q$2+'AA Exact Masses'!$Q$2-'Mass Ion Calculations'!$E$8-'Mass Ion Calculations'!$E29)/2-'Mass Ion Calculations'!$D$5),IF('Mass Ion Calculations'!$D$7="Yes", ('Mass Ion Calculations'!$D$15+'AA Exact Masses'!$Q$2+'AA Exact Masses'!$Q$2-'Mass Ion Calculations'!$C$8-'Mass Ion Calculations'!$C29)/2-'Mass Ion Calculations'!$D$5,('Mass Ion Calculations'!$F$15+'AA Exact Masses'!$Q$2+'AA Exact Masses'!$Q$2-'Mass Ion Calculations'!$E$8-'Mass Ion Calculations'!$E29)/2-'Mass Ion Calculations'!$D$5)))</f>
        <v/>
      </c>
      <c r="G28" s="3" t="str">
        <f>IF(OR($B28="",G$3=""),"",IF('Mass Ion Calculations'!$D$6="Yes",IF('Mass Ion Calculations'!$D$7="Yes",('Mass Ion Calculations'!$D$18+'AA Exact Masses'!$Q$2+'AA Exact Masses'!$Q$2-'Mass Ion Calculations'!$C$9-'Mass Ion Calculations'!$C29)/2-'Mass Ion Calculations'!$D$5,('Mass Ion Calculations'!$F$18+'AA Exact Masses'!$Q$2+'AA Exact Masses'!$Q$2-'Mass Ion Calculations'!$E$9-'Mass Ion Calculations'!$E29)/2-'Mass Ion Calculations'!$D$5),IF('Mass Ion Calculations'!$D$7="Yes", ('Mass Ion Calculations'!$D$15+'AA Exact Masses'!$Q$2+'AA Exact Masses'!$Q$2-'Mass Ion Calculations'!$C$9-'Mass Ion Calculations'!$C29)/2-'Mass Ion Calculations'!$D$5,('Mass Ion Calculations'!$F$15+'AA Exact Masses'!$Q$2+'AA Exact Masses'!$Q$2-'Mass Ion Calculations'!$E$9-'Mass Ion Calculations'!$E29)/2-'Mass Ion Calculations'!$D$5)))</f>
        <v/>
      </c>
      <c r="H28" s="3" t="str">
        <f>IF(OR($B28="",H$3=""),"",IF('Mass Ion Calculations'!$D$6="Yes",IF('Mass Ion Calculations'!$D$7="Yes",('Mass Ion Calculations'!$D$18+'AA Exact Masses'!$Q$2+'AA Exact Masses'!$Q$2-'Mass Ion Calculations'!$C$10-'Mass Ion Calculations'!$C29)/2-'Mass Ion Calculations'!$D$5,('Mass Ion Calculations'!$F$18+'AA Exact Masses'!$Q$2+'AA Exact Masses'!$Q$2-'Mass Ion Calculations'!$E$10-'Mass Ion Calculations'!$E29)/2-'Mass Ion Calculations'!$D$5),IF('Mass Ion Calculations'!$D$7="Yes", ('Mass Ion Calculations'!$D$15+'AA Exact Masses'!$Q$2+'AA Exact Masses'!$Q$2-'Mass Ion Calculations'!$C$10-'Mass Ion Calculations'!$C29)/2-'Mass Ion Calculations'!$D$5,('Mass Ion Calculations'!$F$15+'AA Exact Masses'!$Q$2+'AA Exact Masses'!$Q$2-'Mass Ion Calculations'!$E$10-'Mass Ion Calculations'!$E29)/2-'Mass Ion Calculations'!$D$5)))</f>
        <v/>
      </c>
      <c r="I28" s="3" t="str">
        <f>IF(OR($B28="",I$3=""),"",IF('Mass Ion Calculations'!$D$6="Yes",IF('Mass Ion Calculations'!$D$7="Yes",('Mass Ion Calculations'!$D$18+'AA Exact Masses'!$Q$2+'AA Exact Masses'!$Q$2-'Mass Ion Calculations'!$C$11-'Mass Ion Calculations'!$C29)/2-'Mass Ion Calculations'!$D$5,('Mass Ion Calculations'!$F$18+'AA Exact Masses'!$Q$2+'AA Exact Masses'!$Q$2-'Mass Ion Calculations'!$E$11-'Mass Ion Calculations'!$E29)/2-'Mass Ion Calculations'!$D$5),IF('Mass Ion Calculations'!$D$7="Yes", ('Mass Ion Calculations'!$D$15+'AA Exact Masses'!$Q$2+'AA Exact Masses'!$Q$2-'Mass Ion Calculations'!$C$11-'Mass Ion Calculations'!$C29)/2-'Mass Ion Calculations'!$D$5,('Mass Ion Calculations'!$F$15+'AA Exact Masses'!$Q$2+'AA Exact Masses'!$Q$2-'Mass Ion Calculations'!$E$11-'Mass Ion Calculations'!$E29)/2-'Mass Ion Calculations'!$D$5)))</f>
        <v/>
      </c>
      <c r="J28" s="3" t="str">
        <f>IF(OR($B28="",J$3=""),"",IF('Mass Ion Calculations'!$D$6="Yes",IF('Mass Ion Calculations'!$D$7="Yes",('Mass Ion Calculations'!$D$18+'AA Exact Masses'!$Q$2+'AA Exact Masses'!$Q$2-'Mass Ion Calculations'!$C$12-'Mass Ion Calculations'!$C29)/2-'Mass Ion Calculations'!$D$5,('Mass Ion Calculations'!$F$18+'AA Exact Masses'!$Q$2+'AA Exact Masses'!$Q$2-'Mass Ion Calculations'!$E$12-'Mass Ion Calculations'!$E29)/2-'Mass Ion Calculations'!$D$5),IF('Mass Ion Calculations'!$D$7="Yes", ('Mass Ion Calculations'!$D$15+'AA Exact Masses'!$Q$2+'AA Exact Masses'!$Q$2-'Mass Ion Calculations'!$C$12-'Mass Ion Calculations'!$C29)/2-'Mass Ion Calculations'!$D$5,('Mass Ion Calculations'!$F$15+'AA Exact Masses'!$Q$2+'AA Exact Masses'!$Q$2-'Mass Ion Calculations'!$E$12-'Mass Ion Calculations'!$E29)/2-'Mass Ion Calculations'!$D$5)))</f>
        <v/>
      </c>
      <c r="K28" s="3" t="str">
        <f>IF(OR($B28="",K$3=""),"",IF('Mass Ion Calculations'!$D$6="Yes",IF('Mass Ion Calculations'!$D$7="Yes",('Mass Ion Calculations'!$D$18+'AA Exact Masses'!$Q$2+'AA Exact Masses'!$Q$2-'Mass Ion Calculations'!$C$13-'Mass Ion Calculations'!$C29)/2-'Mass Ion Calculations'!$D$5,('Mass Ion Calculations'!$F$18+'AA Exact Masses'!$Q$2+'AA Exact Masses'!$Q$2-'Mass Ion Calculations'!$E$13-'Mass Ion Calculations'!$E29)/2-'Mass Ion Calculations'!$D$5),IF('Mass Ion Calculations'!$D$7="Yes", ('Mass Ion Calculations'!$D$15+'AA Exact Masses'!$Q$2+'AA Exact Masses'!$Q$2-'Mass Ion Calculations'!$C$13-'Mass Ion Calculations'!$C29)/2-'Mass Ion Calculations'!$D$5,('Mass Ion Calculations'!$F$15+'AA Exact Masses'!$Q$2+'AA Exact Masses'!$Q$2-'Mass Ion Calculations'!$E$13-'Mass Ion Calculations'!$E29)/2-'Mass Ion Calculations'!$D$5)))</f>
        <v/>
      </c>
      <c r="L28" s="3" t="str">
        <f>IF(OR($B28="",L$3=""),"",IF('Mass Ion Calculations'!$D$6="Yes",IF('Mass Ion Calculations'!$D$7="Yes",('Mass Ion Calculations'!$D$18+'AA Exact Masses'!$Q$2+'AA Exact Masses'!$Q$2-'Mass Ion Calculations'!$C$14-'Mass Ion Calculations'!$C29)/2-'Mass Ion Calculations'!$D$5,('Mass Ion Calculations'!$F$18+'AA Exact Masses'!$Q$2+'AA Exact Masses'!$Q$2-'Mass Ion Calculations'!$E$14-'Mass Ion Calculations'!$E29)/2-'Mass Ion Calculations'!$D$5),IF('Mass Ion Calculations'!$D$7="Yes", ('Mass Ion Calculations'!$D$15+'AA Exact Masses'!$Q$2+'AA Exact Masses'!$Q$2-'Mass Ion Calculations'!$C$14-'Mass Ion Calculations'!$C29)/2-'Mass Ion Calculations'!$D$5,('Mass Ion Calculations'!$F$15+'AA Exact Masses'!$Q$2+'AA Exact Masses'!$Q$2-'Mass Ion Calculations'!$E$14-'Mass Ion Calculations'!$E29)/2-'Mass Ion Calculations'!$D$5)))</f>
        <v/>
      </c>
      <c r="M28" s="3" t="str">
        <f>IF(OR($B28="",M$3=""),"",IF('Mass Ion Calculations'!$D$6="Yes",IF('Mass Ion Calculations'!$D$7="Yes",('Mass Ion Calculations'!$D$18+'AA Exact Masses'!$Q$2+'AA Exact Masses'!$Q$2-'Mass Ion Calculations'!$C$15-'Mass Ion Calculations'!$C29)/2-'Mass Ion Calculations'!$D$5,('Mass Ion Calculations'!$F$18+'AA Exact Masses'!$Q$2+'AA Exact Masses'!$Q$2-'Mass Ion Calculations'!$E$15-'Mass Ion Calculations'!$E29)/2-'Mass Ion Calculations'!$D$5),IF('Mass Ion Calculations'!$D$7="Yes", ('Mass Ion Calculations'!$D$15+'AA Exact Masses'!$Q$2+'AA Exact Masses'!$Q$2-'Mass Ion Calculations'!$C$15-'Mass Ion Calculations'!$C29)/2-'Mass Ion Calculations'!$D$5,('Mass Ion Calculations'!$F$15+'AA Exact Masses'!$Q$2+'AA Exact Masses'!$Q$2-'Mass Ion Calculations'!$E$15-'Mass Ion Calculations'!$E29)/2-'Mass Ion Calculations'!$D$5)))</f>
        <v/>
      </c>
      <c r="N28" s="3" t="str">
        <f>IF(OR($B28="",N$3=""),"",IF('Mass Ion Calculations'!$D$6="Yes",IF('Mass Ion Calculations'!$D$7="Yes",('Mass Ion Calculations'!$D$18+'AA Exact Masses'!$Q$2+'AA Exact Masses'!$Q$2-'Mass Ion Calculations'!$C$16-'Mass Ion Calculations'!$C29)/2-'Mass Ion Calculations'!$D$5,('Mass Ion Calculations'!$F$18+'AA Exact Masses'!$Q$2+'AA Exact Masses'!$Q$2-'Mass Ion Calculations'!$E$16-'Mass Ion Calculations'!$E29)/2-'Mass Ion Calculations'!$D$5),IF('Mass Ion Calculations'!$D$7="Yes", ('Mass Ion Calculations'!$D$15+'AA Exact Masses'!$Q$2+'AA Exact Masses'!$Q$2-'Mass Ion Calculations'!$C$16-'Mass Ion Calculations'!$C29)/2-'Mass Ion Calculations'!$D$5,('Mass Ion Calculations'!$F$15+'AA Exact Masses'!$Q$2+'AA Exact Masses'!$Q$2-'Mass Ion Calculations'!$E$16-'Mass Ion Calculations'!$E29)/2-'Mass Ion Calculations'!$D$5)))</f>
        <v/>
      </c>
      <c r="O28" s="3" t="str">
        <f>IF(OR($B28="",O$3=""),"",IF('Mass Ion Calculations'!$D$6="Yes",IF('Mass Ion Calculations'!$D$7="Yes",('Mass Ion Calculations'!$D$18+'AA Exact Masses'!$Q$2+'AA Exact Masses'!$Q$2-'Mass Ion Calculations'!$C$17-'Mass Ion Calculations'!$C29)/2-'Mass Ion Calculations'!$D$5,('Mass Ion Calculations'!$F$18+'AA Exact Masses'!$Q$2+'AA Exact Masses'!$Q$2-'Mass Ion Calculations'!$E$17-'Mass Ion Calculations'!$E29)/2-'Mass Ion Calculations'!$D$5),IF('Mass Ion Calculations'!$D$7="Yes", ('Mass Ion Calculations'!$D$15+'AA Exact Masses'!$Q$2+'AA Exact Masses'!$Q$2-'Mass Ion Calculations'!$C$17-'Mass Ion Calculations'!$C29)/2-'Mass Ion Calculations'!$D$5,('Mass Ion Calculations'!$F$15+'AA Exact Masses'!$Q$2+'AA Exact Masses'!$Q$2-'Mass Ion Calculations'!$E$17-'Mass Ion Calculations'!$E29)/2-'Mass Ion Calculations'!$D$5)))</f>
        <v/>
      </c>
      <c r="P28" s="3" t="str">
        <f>IF(OR($B28="",P$3=""),"",IF('Mass Ion Calculations'!$D$6="Yes",IF('Mass Ion Calculations'!$D$7="Yes",('Mass Ion Calculations'!$D$18+'AA Exact Masses'!$Q$2+'AA Exact Masses'!$Q$2-'Mass Ion Calculations'!$C$18-'Mass Ion Calculations'!$C29)/2-'Mass Ion Calculations'!$D$5,('Mass Ion Calculations'!$F$18+'AA Exact Masses'!$Q$2+'AA Exact Masses'!$Q$2-'Mass Ion Calculations'!$E$18-'Mass Ion Calculations'!$E29)/2-'Mass Ion Calculations'!$D$5),IF('Mass Ion Calculations'!$D$7="Yes", ('Mass Ion Calculations'!$D$15+'AA Exact Masses'!$Q$2+'AA Exact Masses'!$Q$2-'Mass Ion Calculations'!$C$18-'Mass Ion Calculations'!$C29)/2-'Mass Ion Calculations'!$D$5,('Mass Ion Calculations'!$F$15+'AA Exact Masses'!$Q$2+'AA Exact Masses'!$Q$2-'Mass Ion Calculations'!$E$18-'Mass Ion Calculations'!$E29)/2-'Mass Ion Calculations'!$D$5)))</f>
        <v/>
      </c>
      <c r="Q28" s="3" t="str">
        <f>IF(OR($B28="",Q$3=""),"",IF('Mass Ion Calculations'!$D$6="Yes",IF('Mass Ion Calculations'!$D$7="Yes",('Mass Ion Calculations'!$D$18+'AA Exact Masses'!$Q$2+'AA Exact Masses'!$Q$2-'Mass Ion Calculations'!$C$19-'Mass Ion Calculations'!$C29)/2-'Mass Ion Calculations'!$D$5,('Mass Ion Calculations'!$F$18+'AA Exact Masses'!$Q$2+'AA Exact Masses'!$Q$2-'Mass Ion Calculations'!$E$19-'Mass Ion Calculations'!$E29)/2-'Mass Ion Calculations'!$D$5),IF('Mass Ion Calculations'!$D$7="Yes", ('Mass Ion Calculations'!$D$15+'AA Exact Masses'!$Q$2+'AA Exact Masses'!$Q$2-'Mass Ion Calculations'!$C$19-'Mass Ion Calculations'!$C29)/2-'Mass Ion Calculations'!$D$5,('Mass Ion Calculations'!$F$15+'AA Exact Masses'!$Q$2+'AA Exact Masses'!$Q$2-'Mass Ion Calculations'!$E$19-'Mass Ion Calculations'!$E29)/2-'Mass Ion Calculations'!$D$5)))</f>
        <v/>
      </c>
      <c r="R28" s="3" t="str">
        <f>IF(OR($B28="",R$3=""),"",IF('Mass Ion Calculations'!$D$6="Yes",IF('Mass Ion Calculations'!$D$7="Yes",('Mass Ion Calculations'!$D$18+'AA Exact Masses'!$Q$2+'AA Exact Masses'!$Q$2-'Mass Ion Calculations'!$C$20-'Mass Ion Calculations'!$C29)/2-'Mass Ion Calculations'!$D$5,('Mass Ion Calculations'!$F$18+'AA Exact Masses'!$Q$2+'AA Exact Masses'!$Q$2-'Mass Ion Calculations'!$E$20-'Mass Ion Calculations'!$E29)/2-'Mass Ion Calculations'!$D$5),IF('Mass Ion Calculations'!$D$7="Yes", ('Mass Ion Calculations'!$D$15+'AA Exact Masses'!$Q$2+'AA Exact Masses'!$Q$2-'Mass Ion Calculations'!$C$20-'Mass Ion Calculations'!$C29)/2-'Mass Ion Calculations'!$D$5,('Mass Ion Calculations'!$F$15+'AA Exact Masses'!$Q$2+'AA Exact Masses'!$Q$2-'Mass Ion Calculations'!$E$20-'Mass Ion Calculations'!$E29)/2-'Mass Ion Calculations'!$D$5)))</f>
        <v/>
      </c>
      <c r="S28" s="3" t="str">
        <f>IF(OR($B28="",S$3=""),"",IF('Mass Ion Calculations'!$D$6="Yes",IF('Mass Ion Calculations'!$D$7="Yes",('Mass Ion Calculations'!$D$18+'AA Exact Masses'!$Q$2+'AA Exact Masses'!$Q$2-'Mass Ion Calculations'!$C$21-'Mass Ion Calculations'!$C29)/2-'Mass Ion Calculations'!$D$5,('Mass Ion Calculations'!$F$18+'AA Exact Masses'!$Q$2+'AA Exact Masses'!$Q$2-'Mass Ion Calculations'!$E$21-'Mass Ion Calculations'!$E29)/2-'Mass Ion Calculations'!$D$5),IF('Mass Ion Calculations'!$D$7="Yes", ('Mass Ion Calculations'!$D$15+'AA Exact Masses'!$Q$2+'AA Exact Masses'!$Q$2-'Mass Ion Calculations'!$C$21-'Mass Ion Calculations'!$C29)/2-'Mass Ion Calculations'!$D$5,('Mass Ion Calculations'!$F$15+'AA Exact Masses'!$Q$2+'AA Exact Masses'!$Q$2-'Mass Ion Calculations'!$E$21-'Mass Ion Calculations'!$E29)/2-'Mass Ion Calculations'!$D$5)))</f>
        <v/>
      </c>
      <c r="T28" s="3" t="str">
        <f>IF(OR($B28="",T$3=""),"",IF('Mass Ion Calculations'!$D$6="Yes",IF('Mass Ion Calculations'!$D$7="Yes",('Mass Ion Calculations'!$D$18+'AA Exact Masses'!$Q$2+'AA Exact Masses'!$Q$2-'Mass Ion Calculations'!$C$22-'Mass Ion Calculations'!$C29)/2-'Mass Ion Calculations'!$D$5,('Mass Ion Calculations'!$F$18+'AA Exact Masses'!$Q$2+'AA Exact Masses'!$Q$2-'Mass Ion Calculations'!$E$22-'Mass Ion Calculations'!$E29)/2-'Mass Ion Calculations'!$D$5),IF('Mass Ion Calculations'!$D$7="Yes", ('Mass Ion Calculations'!$D$15+'AA Exact Masses'!$Q$2+'AA Exact Masses'!$Q$2-'Mass Ion Calculations'!$C$22-'Mass Ion Calculations'!$C29)/2-'Mass Ion Calculations'!$D$5,('Mass Ion Calculations'!$F$15+'AA Exact Masses'!$Q$2+'AA Exact Masses'!$Q$2-'Mass Ion Calculations'!$E$22-'Mass Ion Calculations'!$E29)/2-'Mass Ion Calculations'!$D$5)))</f>
        <v/>
      </c>
      <c r="U28" s="3" t="str">
        <f>IF(OR($B28="",U$3=""),"",IF('Mass Ion Calculations'!$D$6="Yes",IF('Mass Ion Calculations'!$D$7="Yes",('Mass Ion Calculations'!$D$18+'AA Exact Masses'!$Q$2+'AA Exact Masses'!$Q$2-'Mass Ion Calculations'!$C$23-'Mass Ion Calculations'!$C29)/2-'Mass Ion Calculations'!$D$5,('Mass Ion Calculations'!$F$18+'AA Exact Masses'!$Q$2+'AA Exact Masses'!$Q$2-'Mass Ion Calculations'!$E$23-'Mass Ion Calculations'!$E29)/2-'Mass Ion Calculations'!$D$5),IF('Mass Ion Calculations'!$D$7="Yes", ('Mass Ion Calculations'!$D$15+'AA Exact Masses'!$Q$2+'AA Exact Masses'!$Q$2-'Mass Ion Calculations'!$C$23-'Mass Ion Calculations'!$C29)/2-'Mass Ion Calculations'!$D$5,('Mass Ion Calculations'!$F$15+'AA Exact Masses'!$Q$2+'AA Exact Masses'!$Q$2-'Mass Ion Calculations'!$E$23-'Mass Ion Calculations'!$E29)/2-'Mass Ion Calculations'!$D$5)))</f>
        <v/>
      </c>
      <c r="V28" s="3" t="str">
        <f>IF(OR($B28="",V$3=""),"",IF('Mass Ion Calculations'!$D$6="Yes",IF('Mass Ion Calculations'!$D$7="Yes",('Mass Ion Calculations'!$D$18+'AA Exact Masses'!$Q$2+'AA Exact Masses'!$Q$2-'Mass Ion Calculations'!$C$24-'Mass Ion Calculations'!$C29)/2-'Mass Ion Calculations'!$D$5,('Mass Ion Calculations'!$F$18+'AA Exact Masses'!$Q$2+'AA Exact Masses'!$Q$2-'Mass Ion Calculations'!$E$24-'Mass Ion Calculations'!$E29)/2-'Mass Ion Calculations'!$D$5),IF('Mass Ion Calculations'!$D$7="Yes", ('Mass Ion Calculations'!$D$15+'AA Exact Masses'!$Q$2+'AA Exact Masses'!$Q$2-'Mass Ion Calculations'!$C$24-'Mass Ion Calculations'!$C29)/2-'Mass Ion Calculations'!$D$5,('Mass Ion Calculations'!$F$15+'AA Exact Masses'!$Q$2+'AA Exact Masses'!$Q$2-'Mass Ion Calculations'!$E$24-'Mass Ion Calculations'!$E29)/2-'Mass Ion Calculations'!$D$5)))</f>
        <v/>
      </c>
      <c r="W28" s="3" t="str">
        <f>IF(OR($B28="",W$3=""),"",IF('Mass Ion Calculations'!$D$6="Yes",IF('Mass Ion Calculations'!$D$7="Yes",('Mass Ion Calculations'!$D$18+'AA Exact Masses'!$Q$2+'AA Exact Masses'!$Q$2-'Mass Ion Calculations'!$C$25-'Mass Ion Calculations'!$C29)/2-'Mass Ion Calculations'!$D$5,('Mass Ion Calculations'!$F$18+'AA Exact Masses'!$Q$2+'AA Exact Masses'!$Q$2-'Mass Ion Calculations'!$E$25-'Mass Ion Calculations'!$E29)/2-'Mass Ion Calculations'!$D$5),IF('Mass Ion Calculations'!$D$7="Yes", ('Mass Ion Calculations'!$D$15+'AA Exact Masses'!$Q$2+'AA Exact Masses'!$Q$2-'Mass Ion Calculations'!$C$25-'Mass Ion Calculations'!$C29)/2-'Mass Ion Calculations'!$D$5,('Mass Ion Calculations'!$F$15+'AA Exact Masses'!$Q$2+'AA Exact Masses'!$Q$2-'Mass Ion Calculations'!$E$25-'Mass Ion Calculations'!$E29)/2-'Mass Ion Calculations'!$D$5)))</f>
        <v/>
      </c>
      <c r="X28" s="3" t="str">
        <f>IF(OR($B28="",X$3=""),"",IF('Mass Ion Calculations'!$D$6="Yes",IF('Mass Ion Calculations'!$D$7="Yes",('Mass Ion Calculations'!$D$18+'AA Exact Masses'!$Q$2+'AA Exact Masses'!$Q$2-'Mass Ion Calculations'!$C$26-'Mass Ion Calculations'!$C29)/2-'Mass Ion Calculations'!$D$5,('Mass Ion Calculations'!$F$18+'AA Exact Masses'!$Q$2+'AA Exact Masses'!$Q$2-'Mass Ion Calculations'!$E$26-'Mass Ion Calculations'!$E29)/2-'Mass Ion Calculations'!$D$5),IF('Mass Ion Calculations'!$D$7="Yes", ('Mass Ion Calculations'!$D$15+'AA Exact Masses'!$Q$2+'AA Exact Masses'!$Q$2-'Mass Ion Calculations'!$C$26-'Mass Ion Calculations'!$C29)/2-'Mass Ion Calculations'!$D$5,('Mass Ion Calculations'!$F$15+'AA Exact Masses'!$Q$2+'AA Exact Masses'!$Q$2-'Mass Ion Calculations'!$E$26-'Mass Ion Calculations'!$E29)/2-'Mass Ion Calculations'!$D$5)))</f>
        <v/>
      </c>
      <c r="Y28" s="3" t="str">
        <f>IF(OR($B28="",Y$3=""),"",IF('Mass Ion Calculations'!$D$6="Yes",IF('Mass Ion Calculations'!$D$7="Yes",('Mass Ion Calculations'!$D$18+'AA Exact Masses'!$Q$2+'AA Exact Masses'!$Q$2-'Mass Ion Calculations'!$C$27-'Mass Ion Calculations'!$C29)/2-'Mass Ion Calculations'!$D$5,('Mass Ion Calculations'!$F$18+'AA Exact Masses'!$Q$2+'AA Exact Masses'!$Q$2-'Mass Ion Calculations'!$E$27-'Mass Ion Calculations'!$E29)/2-'Mass Ion Calculations'!$D$5),IF('Mass Ion Calculations'!$D$7="Yes", ('Mass Ion Calculations'!$D$15+'AA Exact Masses'!$Q$2+'AA Exact Masses'!$Q$2-'Mass Ion Calculations'!$C$27-'Mass Ion Calculations'!$C29)/2-'Mass Ion Calculations'!$D$5,('Mass Ion Calculations'!$F$15+'AA Exact Masses'!$Q$2+'AA Exact Masses'!$Q$2-'Mass Ion Calculations'!$E$27-'Mass Ion Calculations'!$E29)/2-'Mass Ion Calculations'!$D$5)))</f>
        <v/>
      </c>
      <c r="Z28" s="3" t="str">
        <f>IF(OR($B28="",Z$3=""),"",IF('Mass Ion Calculations'!$D$6="Yes",IF('Mass Ion Calculations'!$D$7="Yes",('Mass Ion Calculations'!$D$18+'AA Exact Masses'!$Q$2+'AA Exact Masses'!$Q$2-'Mass Ion Calculations'!$C$28-'Mass Ion Calculations'!$C29)/2-'Mass Ion Calculations'!$D$5,('Mass Ion Calculations'!$F$18+'AA Exact Masses'!$Q$2+'AA Exact Masses'!$Q$2-'Mass Ion Calculations'!$E$28-'Mass Ion Calculations'!$E29)/2-'Mass Ion Calculations'!$D$5),IF('Mass Ion Calculations'!$D$7="Yes", ('Mass Ion Calculations'!$D$15+'AA Exact Masses'!$Q$2+'AA Exact Masses'!$Q$2-'Mass Ion Calculations'!$C$28-'Mass Ion Calculations'!$C29)/2-'Mass Ion Calculations'!$D$5,('Mass Ion Calculations'!$F$15+'AA Exact Masses'!$Q$2+'AA Exact Masses'!$Q$2-'Mass Ion Calculations'!$E$28-'Mass Ion Calculations'!$E29)/2-'Mass Ion Calculations'!$D$5)))</f>
        <v/>
      </c>
    </row>
    <row r="29" spans="2:26" x14ac:dyDescent="0.25">
      <c r="C29" s="3" t="str">
        <f>IF(OR($B29="",C$3=""),"",IF('Mass Ion Calculations'!$D$6="Yes",IF('Mass Ion Calculations'!$D$7="Yes",('Mass Ion Calculations'!$D$18+'AA Exact Masses'!$Q$2+'AA Exact Masses'!$Q$2-'Mass Ion Calculations'!$C$5-'Mass Ion Calculations'!$C30)/2-'Mass Ion Calculations'!$D$5,('Mass Ion Calculations'!$F$18+'AA Exact Masses'!$Q$2+'AA Exact Masses'!$Q$2-'Mass Ion Calculations'!$E$5-'Mass Ion Calculations'!$E30)/2-'Mass Ion Calculations'!$D$5),IF('Mass Ion Calculations'!$D$7="Yes", ('Mass Ion Calculations'!$D$15+'AA Exact Masses'!$Q$2+'AA Exact Masses'!$Q$2-'Mass Ion Calculations'!$C$5-'Mass Ion Calculations'!$C30)/2-'Mass Ion Calculations'!$D$5,('Mass Ion Calculations'!$F$15+'AA Exact Masses'!$Q$2+'AA Exact Masses'!$Q$2-'Mass Ion Calculations'!$E$5-'Mass Ion Calculations'!$E30)/2-'Mass Ion Calculations'!$D$5)))</f>
        <v/>
      </c>
      <c r="D29" s="3" t="str">
        <f>IF(OR($B29="",D$3=""),"",IF('Mass Ion Calculations'!$D$6="Yes",IF('Mass Ion Calculations'!$D$7="Yes",('Mass Ion Calculations'!$D$18+'AA Exact Masses'!$Q$2+'AA Exact Masses'!$Q$2-'Mass Ion Calculations'!$C$6-'Mass Ion Calculations'!$C30)/2-'Mass Ion Calculations'!$D$5,('Mass Ion Calculations'!$F$18+'AA Exact Masses'!$Q$2+'AA Exact Masses'!$Q$2-'Mass Ion Calculations'!$E$6-'Mass Ion Calculations'!$E30)/2-'Mass Ion Calculations'!$D$5),IF('Mass Ion Calculations'!$D$7="Yes", ('Mass Ion Calculations'!$D$15+'AA Exact Masses'!$Q$2+'AA Exact Masses'!$Q$2-'Mass Ion Calculations'!$C$6-'Mass Ion Calculations'!$C30)/2-'Mass Ion Calculations'!$D$5,('Mass Ion Calculations'!$F$15+'AA Exact Masses'!$Q$2+'AA Exact Masses'!$Q$2-'Mass Ion Calculations'!$E$6-'Mass Ion Calculations'!$E30)/2-'Mass Ion Calculations'!$D$5)))</f>
        <v/>
      </c>
      <c r="E29" s="3" t="str">
        <f>IF(OR($B29="",E$3=""),"",IF('Mass Ion Calculations'!$D$6="Yes",IF('Mass Ion Calculations'!$D$7="Yes",('Mass Ion Calculations'!$D$18+'AA Exact Masses'!$Q$2+'AA Exact Masses'!$Q$2-'Mass Ion Calculations'!$C$7-'Mass Ion Calculations'!$C30)/2-'Mass Ion Calculations'!$D$5,('Mass Ion Calculations'!$F$18+'AA Exact Masses'!$Q$2+'AA Exact Masses'!$Q$2-'Mass Ion Calculations'!$E$7-'Mass Ion Calculations'!$E30)/2-'Mass Ion Calculations'!$D$5),IF('Mass Ion Calculations'!$D$7="Yes", ('Mass Ion Calculations'!$D$15+'AA Exact Masses'!$Q$2+'AA Exact Masses'!$Q$2-'Mass Ion Calculations'!$C$7-'Mass Ion Calculations'!$C30)/2-'Mass Ion Calculations'!$D$5,('Mass Ion Calculations'!$F$15+'AA Exact Masses'!$Q$2+'AA Exact Masses'!$Q$2-'Mass Ion Calculations'!$E$7-'Mass Ion Calculations'!$E30)/2-'Mass Ion Calculations'!$D$5)))</f>
        <v/>
      </c>
      <c r="F29" s="3" t="str">
        <f>IF(OR($B29="",F$3=""),"",IF('Mass Ion Calculations'!$D$6="Yes",IF('Mass Ion Calculations'!$D$7="Yes",('Mass Ion Calculations'!$D$18+'AA Exact Masses'!$Q$2+'AA Exact Masses'!$Q$2-'Mass Ion Calculations'!$C$8-'Mass Ion Calculations'!$C30)/2-'Mass Ion Calculations'!$D$5,('Mass Ion Calculations'!$F$18+'AA Exact Masses'!$Q$2+'AA Exact Masses'!$Q$2-'Mass Ion Calculations'!$E$8-'Mass Ion Calculations'!$E30)/2-'Mass Ion Calculations'!$D$5),IF('Mass Ion Calculations'!$D$7="Yes", ('Mass Ion Calculations'!$D$15+'AA Exact Masses'!$Q$2+'AA Exact Masses'!$Q$2-'Mass Ion Calculations'!$C$8-'Mass Ion Calculations'!$C30)/2-'Mass Ion Calculations'!$D$5,('Mass Ion Calculations'!$F$15+'AA Exact Masses'!$Q$2+'AA Exact Masses'!$Q$2-'Mass Ion Calculations'!$E$8-'Mass Ion Calculations'!$E30)/2-'Mass Ion Calculations'!$D$5)))</f>
        <v/>
      </c>
      <c r="G29" s="3" t="str">
        <f>IF(OR($B29="",G$3=""),"",IF('Mass Ion Calculations'!$D$6="Yes",IF('Mass Ion Calculations'!$D$7="Yes",('Mass Ion Calculations'!$D$18+'AA Exact Masses'!$Q$2+'AA Exact Masses'!$Q$2-'Mass Ion Calculations'!$C$9-'Mass Ion Calculations'!$C30)/2-'Mass Ion Calculations'!$D$5,('Mass Ion Calculations'!$F$18+'AA Exact Masses'!$Q$2+'AA Exact Masses'!$Q$2-'Mass Ion Calculations'!$E$9-'Mass Ion Calculations'!$E30)/2-'Mass Ion Calculations'!$D$5),IF('Mass Ion Calculations'!$D$7="Yes", ('Mass Ion Calculations'!$D$15+'AA Exact Masses'!$Q$2+'AA Exact Masses'!$Q$2-'Mass Ion Calculations'!$C$9-'Mass Ion Calculations'!$C30)/2-'Mass Ion Calculations'!$D$5,('Mass Ion Calculations'!$F$15+'AA Exact Masses'!$Q$2+'AA Exact Masses'!$Q$2-'Mass Ion Calculations'!$E$9-'Mass Ion Calculations'!$E30)/2-'Mass Ion Calculations'!$D$5)))</f>
        <v/>
      </c>
      <c r="H29" s="3" t="str">
        <f>IF(OR($B29="",H$3=""),"",IF('Mass Ion Calculations'!$D$6="Yes",IF('Mass Ion Calculations'!$D$7="Yes",('Mass Ion Calculations'!$D$18+'AA Exact Masses'!$Q$2+'AA Exact Masses'!$Q$2-'Mass Ion Calculations'!$C$10-'Mass Ion Calculations'!$C30)/2-'Mass Ion Calculations'!$D$5,('Mass Ion Calculations'!$F$18+'AA Exact Masses'!$Q$2+'AA Exact Masses'!$Q$2-'Mass Ion Calculations'!$E$10-'Mass Ion Calculations'!$E30)/2-'Mass Ion Calculations'!$D$5),IF('Mass Ion Calculations'!$D$7="Yes", ('Mass Ion Calculations'!$D$15+'AA Exact Masses'!$Q$2+'AA Exact Masses'!$Q$2-'Mass Ion Calculations'!$C$10-'Mass Ion Calculations'!$C30)/2-'Mass Ion Calculations'!$D$5,('Mass Ion Calculations'!$F$15+'AA Exact Masses'!$Q$2+'AA Exact Masses'!$Q$2-'Mass Ion Calculations'!$E$10-'Mass Ion Calculations'!$E30)/2-'Mass Ion Calculations'!$D$5)))</f>
        <v/>
      </c>
      <c r="I29" s="3" t="str">
        <f>IF(OR($B29="",I$3=""),"",IF('Mass Ion Calculations'!$D$6="Yes",IF('Mass Ion Calculations'!$D$7="Yes",('Mass Ion Calculations'!$D$18+'AA Exact Masses'!$Q$2+'AA Exact Masses'!$Q$2-'Mass Ion Calculations'!$C$11-'Mass Ion Calculations'!$C30)/2-'Mass Ion Calculations'!$D$5,('Mass Ion Calculations'!$F$18+'AA Exact Masses'!$Q$2+'AA Exact Masses'!$Q$2-'Mass Ion Calculations'!$E$11-'Mass Ion Calculations'!$E30)/2-'Mass Ion Calculations'!$D$5),IF('Mass Ion Calculations'!$D$7="Yes", ('Mass Ion Calculations'!$D$15+'AA Exact Masses'!$Q$2+'AA Exact Masses'!$Q$2-'Mass Ion Calculations'!$C$11-'Mass Ion Calculations'!$C30)/2-'Mass Ion Calculations'!$D$5,('Mass Ion Calculations'!$F$15+'AA Exact Masses'!$Q$2+'AA Exact Masses'!$Q$2-'Mass Ion Calculations'!$E$11-'Mass Ion Calculations'!$E30)/2-'Mass Ion Calculations'!$D$5)))</f>
        <v/>
      </c>
      <c r="J29" s="3" t="str">
        <f>IF(OR($B29="",J$3=""),"",IF('Mass Ion Calculations'!$D$6="Yes",IF('Mass Ion Calculations'!$D$7="Yes",('Mass Ion Calculations'!$D$18+'AA Exact Masses'!$Q$2+'AA Exact Masses'!$Q$2-'Mass Ion Calculations'!$C$12-'Mass Ion Calculations'!$C30)/2-'Mass Ion Calculations'!$D$5,('Mass Ion Calculations'!$F$18+'AA Exact Masses'!$Q$2+'AA Exact Masses'!$Q$2-'Mass Ion Calculations'!$E$12-'Mass Ion Calculations'!$E30)/2-'Mass Ion Calculations'!$D$5),IF('Mass Ion Calculations'!$D$7="Yes", ('Mass Ion Calculations'!$D$15+'AA Exact Masses'!$Q$2+'AA Exact Masses'!$Q$2-'Mass Ion Calculations'!$C$12-'Mass Ion Calculations'!$C30)/2-'Mass Ion Calculations'!$D$5,('Mass Ion Calculations'!$F$15+'AA Exact Masses'!$Q$2+'AA Exact Masses'!$Q$2-'Mass Ion Calculations'!$E$12-'Mass Ion Calculations'!$E30)/2-'Mass Ion Calculations'!$D$5)))</f>
        <v/>
      </c>
      <c r="K29" s="3" t="str">
        <f>IF(OR($B29="",K$3=""),"",IF('Mass Ion Calculations'!$D$6="Yes",IF('Mass Ion Calculations'!$D$7="Yes",('Mass Ion Calculations'!$D$18+'AA Exact Masses'!$Q$2+'AA Exact Masses'!$Q$2-'Mass Ion Calculations'!$C$13-'Mass Ion Calculations'!$C30)/2-'Mass Ion Calculations'!$D$5,('Mass Ion Calculations'!$F$18+'AA Exact Masses'!$Q$2+'AA Exact Masses'!$Q$2-'Mass Ion Calculations'!$E$13-'Mass Ion Calculations'!$E30)/2-'Mass Ion Calculations'!$D$5),IF('Mass Ion Calculations'!$D$7="Yes", ('Mass Ion Calculations'!$D$15+'AA Exact Masses'!$Q$2+'AA Exact Masses'!$Q$2-'Mass Ion Calculations'!$C$13-'Mass Ion Calculations'!$C30)/2-'Mass Ion Calculations'!$D$5,('Mass Ion Calculations'!$F$15+'AA Exact Masses'!$Q$2+'AA Exact Masses'!$Q$2-'Mass Ion Calculations'!$E$13-'Mass Ion Calculations'!$E30)/2-'Mass Ion Calculations'!$D$5)))</f>
        <v/>
      </c>
      <c r="L29" s="3" t="str">
        <f>IF(OR($B29="",L$3=""),"",IF('Mass Ion Calculations'!$D$6="Yes",IF('Mass Ion Calculations'!$D$7="Yes",('Mass Ion Calculations'!$D$18+'AA Exact Masses'!$Q$2+'AA Exact Masses'!$Q$2-'Mass Ion Calculations'!$C$14-'Mass Ion Calculations'!$C30)/2-'Mass Ion Calculations'!$D$5,('Mass Ion Calculations'!$F$18+'AA Exact Masses'!$Q$2+'AA Exact Masses'!$Q$2-'Mass Ion Calculations'!$E$14-'Mass Ion Calculations'!$E30)/2-'Mass Ion Calculations'!$D$5),IF('Mass Ion Calculations'!$D$7="Yes", ('Mass Ion Calculations'!$D$15+'AA Exact Masses'!$Q$2+'AA Exact Masses'!$Q$2-'Mass Ion Calculations'!$C$14-'Mass Ion Calculations'!$C30)/2-'Mass Ion Calculations'!$D$5,('Mass Ion Calculations'!$F$15+'AA Exact Masses'!$Q$2+'AA Exact Masses'!$Q$2-'Mass Ion Calculations'!$E$14-'Mass Ion Calculations'!$E30)/2-'Mass Ion Calculations'!$D$5)))</f>
        <v/>
      </c>
      <c r="M29" s="3" t="str">
        <f>IF(OR($B29="",M$3=""),"",IF('Mass Ion Calculations'!$D$6="Yes",IF('Mass Ion Calculations'!$D$7="Yes",('Mass Ion Calculations'!$D$18+'AA Exact Masses'!$Q$2+'AA Exact Masses'!$Q$2-'Mass Ion Calculations'!$C$15-'Mass Ion Calculations'!$C30)/2-'Mass Ion Calculations'!$D$5,('Mass Ion Calculations'!$F$18+'AA Exact Masses'!$Q$2+'AA Exact Masses'!$Q$2-'Mass Ion Calculations'!$E$15-'Mass Ion Calculations'!$E30)/2-'Mass Ion Calculations'!$D$5),IF('Mass Ion Calculations'!$D$7="Yes", ('Mass Ion Calculations'!$D$15+'AA Exact Masses'!$Q$2+'AA Exact Masses'!$Q$2-'Mass Ion Calculations'!$C$15-'Mass Ion Calculations'!$C30)/2-'Mass Ion Calculations'!$D$5,('Mass Ion Calculations'!$F$15+'AA Exact Masses'!$Q$2+'AA Exact Masses'!$Q$2-'Mass Ion Calculations'!$E$15-'Mass Ion Calculations'!$E30)/2-'Mass Ion Calculations'!$D$5)))</f>
        <v/>
      </c>
      <c r="N29" s="3" t="str">
        <f>IF(OR($B29="",N$3=""),"",IF('Mass Ion Calculations'!$D$6="Yes",IF('Mass Ion Calculations'!$D$7="Yes",('Mass Ion Calculations'!$D$18+'AA Exact Masses'!$Q$2+'AA Exact Masses'!$Q$2-'Mass Ion Calculations'!$C$16-'Mass Ion Calculations'!$C30)/2-'Mass Ion Calculations'!$D$5,('Mass Ion Calculations'!$F$18+'AA Exact Masses'!$Q$2+'AA Exact Masses'!$Q$2-'Mass Ion Calculations'!$E$16-'Mass Ion Calculations'!$E30)/2-'Mass Ion Calculations'!$D$5),IF('Mass Ion Calculations'!$D$7="Yes", ('Mass Ion Calculations'!$D$15+'AA Exact Masses'!$Q$2+'AA Exact Masses'!$Q$2-'Mass Ion Calculations'!$C$16-'Mass Ion Calculations'!$C30)/2-'Mass Ion Calculations'!$D$5,('Mass Ion Calculations'!$F$15+'AA Exact Masses'!$Q$2+'AA Exact Masses'!$Q$2-'Mass Ion Calculations'!$E$16-'Mass Ion Calculations'!$E30)/2-'Mass Ion Calculations'!$D$5)))</f>
        <v/>
      </c>
      <c r="O29" s="3" t="str">
        <f>IF(OR($B29="",O$3=""),"",IF('Mass Ion Calculations'!$D$6="Yes",IF('Mass Ion Calculations'!$D$7="Yes",('Mass Ion Calculations'!$D$18+'AA Exact Masses'!$Q$2+'AA Exact Masses'!$Q$2-'Mass Ion Calculations'!$C$17-'Mass Ion Calculations'!$C30)/2-'Mass Ion Calculations'!$D$5,('Mass Ion Calculations'!$F$18+'AA Exact Masses'!$Q$2+'AA Exact Masses'!$Q$2-'Mass Ion Calculations'!$E$17-'Mass Ion Calculations'!$E30)/2-'Mass Ion Calculations'!$D$5),IF('Mass Ion Calculations'!$D$7="Yes", ('Mass Ion Calculations'!$D$15+'AA Exact Masses'!$Q$2+'AA Exact Masses'!$Q$2-'Mass Ion Calculations'!$C$17-'Mass Ion Calculations'!$C30)/2-'Mass Ion Calculations'!$D$5,('Mass Ion Calculations'!$F$15+'AA Exact Masses'!$Q$2+'AA Exact Masses'!$Q$2-'Mass Ion Calculations'!$E$17-'Mass Ion Calculations'!$E30)/2-'Mass Ion Calculations'!$D$5)))</f>
        <v/>
      </c>
      <c r="P29" s="3" t="str">
        <f>IF(OR($B29="",P$3=""),"",IF('Mass Ion Calculations'!$D$6="Yes",IF('Mass Ion Calculations'!$D$7="Yes",('Mass Ion Calculations'!$D$18+'AA Exact Masses'!$Q$2+'AA Exact Masses'!$Q$2-'Mass Ion Calculations'!$C$18-'Mass Ion Calculations'!$C30)/2-'Mass Ion Calculations'!$D$5,('Mass Ion Calculations'!$F$18+'AA Exact Masses'!$Q$2+'AA Exact Masses'!$Q$2-'Mass Ion Calculations'!$E$18-'Mass Ion Calculations'!$E30)/2-'Mass Ion Calculations'!$D$5),IF('Mass Ion Calculations'!$D$7="Yes", ('Mass Ion Calculations'!$D$15+'AA Exact Masses'!$Q$2+'AA Exact Masses'!$Q$2-'Mass Ion Calculations'!$C$18-'Mass Ion Calculations'!$C30)/2-'Mass Ion Calculations'!$D$5,('Mass Ion Calculations'!$F$15+'AA Exact Masses'!$Q$2+'AA Exact Masses'!$Q$2-'Mass Ion Calculations'!$E$18-'Mass Ion Calculations'!$E30)/2-'Mass Ion Calculations'!$D$5)))</f>
        <v/>
      </c>
      <c r="Q29" s="3" t="str">
        <f>IF(OR($B29="",Q$3=""),"",IF('Mass Ion Calculations'!$D$6="Yes",IF('Mass Ion Calculations'!$D$7="Yes",('Mass Ion Calculations'!$D$18+'AA Exact Masses'!$Q$2+'AA Exact Masses'!$Q$2-'Mass Ion Calculations'!$C$19-'Mass Ion Calculations'!$C30)/2-'Mass Ion Calculations'!$D$5,('Mass Ion Calculations'!$F$18+'AA Exact Masses'!$Q$2+'AA Exact Masses'!$Q$2-'Mass Ion Calculations'!$E$19-'Mass Ion Calculations'!$E30)/2-'Mass Ion Calculations'!$D$5),IF('Mass Ion Calculations'!$D$7="Yes", ('Mass Ion Calculations'!$D$15+'AA Exact Masses'!$Q$2+'AA Exact Masses'!$Q$2-'Mass Ion Calculations'!$C$19-'Mass Ion Calculations'!$C30)/2-'Mass Ion Calculations'!$D$5,('Mass Ion Calculations'!$F$15+'AA Exact Masses'!$Q$2+'AA Exact Masses'!$Q$2-'Mass Ion Calculations'!$E$19-'Mass Ion Calculations'!$E30)/2-'Mass Ion Calculations'!$D$5)))</f>
        <v/>
      </c>
      <c r="R29" s="3" t="str">
        <f>IF(OR($B29="",R$3=""),"",IF('Mass Ion Calculations'!$D$6="Yes",IF('Mass Ion Calculations'!$D$7="Yes",('Mass Ion Calculations'!$D$18+'AA Exact Masses'!$Q$2+'AA Exact Masses'!$Q$2-'Mass Ion Calculations'!$C$20-'Mass Ion Calculations'!$C30)/2-'Mass Ion Calculations'!$D$5,('Mass Ion Calculations'!$F$18+'AA Exact Masses'!$Q$2+'AA Exact Masses'!$Q$2-'Mass Ion Calculations'!$E$20-'Mass Ion Calculations'!$E30)/2-'Mass Ion Calculations'!$D$5),IF('Mass Ion Calculations'!$D$7="Yes", ('Mass Ion Calculations'!$D$15+'AA Exact Masses'!$Q$2+'AA Exact Masses'!$Q$2-'Mass Ion Calculations'!$C$20-'Mass Ion Calculations'!$C30)/2-'Mass Ion Calculations'!$D$5,('Mass Ion Calculations'!$F$15+'AA Exact Masses'!$Q$2+'AA Exact Masses'!$Q$2-'Mass Ion Calculations'!$E$20-'Mass Ion Calculations'!$E30)/2-'Mass Ion Calculations'!$D$5)))</f>
        <v/>
      </c>
      <c r="S29" s="3" t="str">
        <f>IF(OR($B29="",S$3=""),"",IF('Mass Ion Calculations'!$D$6="Yes",IF('Mass Ion Calculations'!$D$7="Yes",('Mass Ion Calculations'!$D$18+'AA Exact Masses'!$Q$2+'AA Exact Masses'!$Q$2-'Mass Ion Calculations'!$C$21-'Mass Ion Calculations'!$C30)/2-'Mass Ion Calculations'!$D$5,('Mass Ion Calculations'!$F$18+'AA Exact Masses'!$Q$2+'AA Exact Masses'!$Q$2-'Mass Ion Calculations'!$E$21-'Mass Ion Calculations'!$E30)/2-'Mass Ion Calculations'!$D$5),IF('Mass Ion Calculations'!$D$7="Yes", ('Mass Ion Calculations'!$D$15+'AA Exact Masses'!$Q$2+'AA Exact Masses'!$Q$2-'Mass Ion Calculations'!$C$21-'Mass Ion Calculations'!$C30)/2-'Mass Ion Calculations'!$D$5,('Mass Ion Calculations'!$F$15+'AA Exact Masses'!$Q$2+'AA Exact Masses'!$Q$2-'Mass Ion Calculations'!$E$21-'Mass Ion Calculations'!$E30)/2-'Mass Ion Calculations'!$D$5)))</f>
        <v/>
      </c>
      <c r="T29" s="3" t="str">
        <f>IF(OR($B29="",T$3=""),"",IF('Mass Ion Calculations'!$D$6="Yes",IF('Mass Ion Calculations'!$D$7="Yes",('Mass Ion Calculations'!$D$18+'AA Exact Masses'!$Q$2+'AA Exact Masses'!$Q$2-'Mass Ion Calculations'!$C$22-'Mass Ion Calculations'!$C30)/2-'Mass Ion Calculations'!$D$5,('Mass Ion Calculations'!$F$18+'AA Exact Masses'!$Q$2+'AA Exact Masses'!$Q$2-'Mass Ion Calculations'!$E$22-'Mass Ion Calculations'!$E30)/2-'Mass Ion Calculations'!$D$5),IF('Mass Ion Calculations'!$D$7="Yes", ('Mass Ion Calculations'!$D$15+'AA Exact Masses'!$Q$2+'AA Exact Masses'!$Q$2-'Mass Ion Calculations'!$C$22-'Mass Ion Calculations'!$C30)/2-'Mass Ion Calculations'!$D$5,('Mass Ion Calculations'!$F$15+'AA Exact Masses'!$Q$2+'AA Exact Masses'!$Q$2-'Mass Ion Calculations'!$E$22-'Mass Ion Calculations'!$E30)/2-'Mass Ion Calculations'!$D$5)))</f>
        <v/>
      </c>
      <c r="U29" s="3" t="str">
        <f>IF(OR($B29="",U$3=""),"",IF('Mass Ion Calculations'!$D$6="Yes",IF('Mass Ion Calculations'!$D$7="Yes",('Mass Ion Calculations'!$D$18+'AA Exact Masses'!$Q$2+'AA Exact Masses'!$Q$2-'Mass Ion Calculations'!$C$23-'Mass Ion Calculations'!$C30)/2-'Mass Ion Calculations'!$D$5,('Mass Ion Calculations'!$F$18+'AA Exact Masses'!$Q$2+'AA Exact Masses'!$Q$2-'Mass Ion Calculations'!$E$23-'Mass Ion Calculations'!$E30)/2-'Mass Ion Calculations'!$D$5),IF('Mass Ion Calculations'!$D$7="Yes", ('Mass Ion Calculations'!$D$15+'AA Exact Masses'!$Q$2+'AA Exact Masses'!$Q$2-'Mass Ion Calculations'!$C$23-'Mass Ion Calculations'!$C30)/2-'Mass Ion Calculations'!$D$5,('Mass Ion Calculations'!$F$15+'AA Exact Masses'!$Q$2+'AA Exact Masses'!$Q$2-'Mass Ion Calculations'!$E$23-'Mass Ion Calculations'!$E30)/2-'Mass Ion Calculations'!$D$5)))</f>
        <v/>
      </c>
      <c r="V29" s="3" t="str">
        <f>IF(OR($B29="",V$3=""),"",IF('Mass Ion Calculations'!$D$6="Yes",IF('Mass Ion Calculations'!$D$7="Yes",('Mass Ion Calculations'!$D$18+'AA Exact Masses'!$Q$2+'AA Exact Masses'!$Q$2-'Mass Ion Calculations'!$C$24-'Mass Ion Calculations'!$C30)/2-'Mass Ion Calculations'!$D$5,('Mass Ion Calculations'!$F$18+'AA Exact Masses'!$Q$2+'AA Exact Masses'!$Q$2-'Mass Ion Calculations'!$E$24-'Mass Ion Calculations'!$E30)/2-'Mass Ion Calculations'!$D$5),IF('Mass Ion Calculations'!$D$7="Yes", ('Mass Ion Calculations'!$D$15+'AA Exact Masses'!$Q$2+'AA Exact Masses'!$Q$2-'Mass Ion Calculations'!$C$24-'Mass Ion Calculations'!$C30)/2-'Mass Ion Calculations'!$D$5,('Mass Ion Calculations'!$F$15+'AA Exact Masses'!$Q$2+'AA Exact Masses'!$Q$2-'Mass Ion Calculations'!$E$24-'Mass Ion Calculations'!$E30)/2-'Mass Ion Calculations'!$D$5)))</f>
        <v/>
      </c>
      <c r="W29" s="3" t="str">
        <f>IF(OR($B29="",W$3=""),"",IF('Mass Ion Calculations'!$D$6="Yes",IF('Mass Ion Calculations'!$D$7="Yes",('Mass Ion Calculations'!$D$18+'AA Exact Masses'!$Q$2+'AA Exact Masses'!$Q$2-'Mass Ion Calculations'!$C$25-'Mass Ion Calculations'!$C30)/2-'Mass Ion Calculations'!$D$5,('Mass Ion Calculations'!$F$18+'AA Exact Masses'!$Q$2+'AA Exact Masses'!$Q$2-'Mass Ion Calculations'!$E$25-'Mass Ion Calculations'!$E30)/2-'Mass Ion Calculations'!$D$5),IF('Mass Ion Calculations'!$D$7="Yes", ('Mass Ion Calculations'!$D$15+'AA Exact Masses'!$Q$2+'AA Exact Masses'!$Q$2-'Mass Ion Calculations'!$C$25-'Mass Ion Calculations'!$C30)/2-'Mass Ion Calculations'!$D$5,('Mass Ion Calculations'!$F$15+'AA Exact Masses'!$Q$2+'AA Exact Masses'!$Q$2-'Mass Ion Calculations'!$E$25-'Mass Ion Calculations'!$E30)/2-'Mass Ion Calculations'!$D$5)))</f>
        <v/>
      </c>
      <c r="X29" s="3" t="str">
        <f>IF(OR($B29="",X$3=""),"",IF('Mass Ion Calculations'!$D$6="Yes",IF('Mass Ion Calculations'!$D$7="Yes",('Mass Ion Calculations'!$D$18+'AA Exact Masses'!$Q$2+'AA Exact Masses'!$Q$2-'Mass Ion Calculations'!$C$26-'Mass Ion Calculations'!$C30)/2-'Mass Ion Calculations'!$D$5,('Mass Ion Calculations'!$F$18+'AA Exact Masses'!$Q$2+'AA Exact Masses'!$Q$2-'Mass Ion Calculations'!$E$26-'Mass Ion Calculations'!$E30)/2-'Mass Ion Calculations'!$D$5),IF('Mass Ion Calculations'!$D$7="Yes", ('Mass Ion Calculations'!$D$15+'AA Exact Masses'!$Q$2+'AA Exact Masses'!$Q$2-'Mass Ion Calculations'!$C$26-'Mass Ion Calculations'!$C30)/2-'Mass Ion Calculations'!$D$5,('Mass Ion Calculations'!$F$15+'AA Exact Masses'!$Q$2+'AA Exact Masses'!$Q$2-'Mass Ion Calculations'!$E$26-'Mass Ion Calculations'!$E30)/2-'Mass Ion Calculations'!$D$5)))</f>
        <v/>
      </c>
      <c r="Y29" s="3" t="str">
        <f>IF(OR($B29="",Y$3=""),"",IF('Mass Ion Calculations'!$D$6="Yes",IF('Mass Ion Calculations'!$D$7="Yes",('Mass Ion Calculations'!$D$18+'AA Exact Masses'!$Q$2+'AA Exact Masses'!$Q$2-'Mass Ion Calculations'!$C$27-'Mass Ion Calculations'!$C30)/2-'Mass Ion Calculations'!$D$5,('Mass Ion Calculations'!$F$18+'AA Exact Masses'!$Q$2+'AA Exact Masses'!$Q$2-'Mass Ion Calculations'!$E$27-'Mass Ion Calculations'!$E30)/2-'Mass Ion Calculations'!$D$5),IF('Mass Ion Calculations'!$D$7="Yes", ('Mass Ion Calculations'!$D$15+'AA Exact Masses'!$Q$2+'AA Exact Masses'!$Q$2-'Mass Ion Calculations'!$C$27-'Mass Ion Calculations'!$C30)/2-'Mass Ion Calculations'!$D$5,('Mass Ion Calculations'!$F$15+'AA Exact Masses'!$Q$2+'AA Exact Masses'!$Q$2-'Mass Ion Calculations'!$E$27-'Mass Ion Calculations'!$E30)/2-'Mass Ion Calculations'!$D$5)))</f>
        <v/>
      </c>
      <c r="Z29" s="3" t="str">
        <f>IF(OR($B29="",Z$3=""),"",IF('Mass Ion Calculations'!$D$6="Yes",IF('Mass Ion Calculations'!$D$7="Yes",('Mass Ion Calculations'!$D$18+'AA Exact Masses'!$Q$2+'AA Exact Masses'!$Q$2-'Mass Ion Calculations'!$C$28-'Mass Ion Calculations'!$C30)/2-'Mass Ion Calculations'!$D$5,('Mass Ion Calculations'!$F$18+'AA Exact Masses'!$Q$2+'AA Exact Masses'!$Q$2-'Mass Ion Calculations'!$E$28-'Mass Ion Calculations'!$E30)/2-'Mass Ion Calculations'!$D$5),IF('Mass Ion Calculations'!$D$7="Yes", ('Mass Ion Calculations'!$D$15+'AA Exact Masses'!$Q$2+'AA Exact Masses'!$Q$2-'Mass Ion Calculations'!$C$28-'Mass Ion Calculations'!$C30)/2-'Mass Ion Calculations'!$D$5,('Mass Ion Calculations'!$F$15+'AA Exact Masses'!$Q$2+'AA Exact Masses'!$Q$2-'Mass Ion Calculations'!$E$28-'Mass Ion Calculations'!$E30)/2-'Mass Ion Calculations'!$D$5)))</f>
        <v/>
      </c>
    </row>
    <row r="30" spans="2:26" x14ac:dyDescent="0.25">
      <c r="C30" s="3" t="str">
        <f>IF(OR($B30="",C$3=""),"",IF('Mass Ion Calculations'!$D$6="Yes",IF('Mass Ion Calculations'!$D$7="Yes",('Mass Ion Calculations'!$D$18+'AA Exact Masses'!$Q$2+'AA Exact Masses'!$Q$2-'Mass Ion Calculations'!$C$5-'Mass Ion Calculations'!$C31)/2-'Mass Ion Calculations'!$D$5,('Mass Ion Calculations'!$F$18+'AA Exact Masses'!$Q$2+'AA Exact Masses'!$Q$2-'Mass Ion Calculations'!$E$5-'Mass Ion Calculations'!$E31)/2-'Mass Ion Calculations'!$D$5),IF('Mass Ion Calculations'!$D$7="Yes", ('Mass Ion Calculations'!$D$15+'AA Exact Masses'!$Q$2+'AA Exact Masses'!$Q$2-'Mass Ion Calculations'!$C$5-'Mass Ion Calculations'!$C31)/2-'Mass Ion Calculations'!$D$5,('Mass Ion Calculations'!$F$15+'AA Exact Masses'!$Q$2+'AA Exact Masses'!$Q$2-'Mass Ion Calculations'!$E$5-'Mass Ion Calculations'!$E31)/2-'Mass Ion Calculations'!$D$5)))</f>
        <v/>
      </c>
      <c r="D30" s="3" t="str">
        <f>IF(OR($B30="",D$3=""),"",IF('Mass Ion Calculations'!$D$6="Yes",IF('Mass Ion Calculations'!$D$7="Yes",('Mass Ion Calculations'!$D$18+'AA Exact Masses'!$Q$2+'AA Exact Masses'!$Q$2-'Mass Ion Calculations'!$C$6-'Mass Ion Calculations'!$C31)/2-'Mass Ion Calculations'!$D$5,('Mass Ion Calculations'!$F$18+'AA Exact Masses'!$Q$2+'AA Exact Masses'!$Q$2-'Mass Ion Calculations'!$E$6-'Mass Ion Calculations'!$E31)/2-'Mass Ion Calculations'!$D$5),IF('Mass Ion Calculations'!$D$7="Yes", ('Mass Ion Calculations'!$D$15+'AA Exact Masses'!$Q$2+'AA Exact Masses'!$Q$2-'Mass Ion Calculations'!$C$6-'Mass Ion Calculations'!$C31)/2-'Mass Ion Calculations'!$D$5,('Mass Ion Calculations'!$F$15+'AA Exact Masses'!$Q$2+'AA Exact Masses'!$Q$2-'Mass Ion Calculations'!$E$6-'Mass Ion Calculations'!$E31)/2-'Mass Ion Calculations'!$D$5)))</f>
        <v/>
      </c>
      <c r="E30" s="3" t="str">
        <f>IF(OR($B30="",E$3=""),"",IF('Mass Ion Calculations'!$D$6="Yes",IF('Mass Ion Calculations'!$D$7="Yes",('Mass Ion Calculations'!$D$18+'AA Exact Masses'!$Q$2+'AA Exact Masses'!$Q$2-'Mass Ion Calculations'!$C$7-'Mass Ion Calculations'!$C31)/2-'Mass Ion Calculations'!$D$5,('Mass Ion Calculations'!$F$18+'AA Exact Masses'!$Q$2+'AA Exact Masses'!$Q$2-'Mass Ion Calculations'!$E$7-'Mass Ion Calculations'!$E31)/2-'Mass Ion Calculations'!$D$5),IF('Mass Ion Calculations'!$D$7="Yes", ('Mass Ion Calculations'!$D$15+'AA Exact Masses'!$Q$2+'AA Exact Masses'!$Q$2-'Mass Ion Calculations'!$C$7-'Mass Ion Calculations'!$C31)/2-'Mass Ion Calculations'!$D$5,('Mass Ion Calculations'!$F$15+'AA Exact Masses'!$Q$2+'AA Exact Masses'!$Q$2-'Mass Ion Calculations'!$E$7-'Mass Ion Calculations'!$E31)/2-'Mass Ion Calculations'!$D$5)))</f>
        <v/>
      </c>
      <c r="F30" s="3" t="str">
        <f>IF(OR($B30="",F$3=""),"",IF('Mass Ion Calculations'!$D$6="Yes",IF('Mass Ion Calculations'!$D$7="Yes",('Mass Ion Calculations'!$D$18+'AA Exact Masses'!$Q$2+'AA Exact Masses'!$Q$2-'Mass Ion Calculations'!$C$8-'Mass Ion Calculations'!$C31)/2-'Mass Ion Calculations'!$D$5,('Mass Ion Calculations'!$F$18+'AA Exact Masses'!$Q$2+'AA Exact Masses'!$Q$2-'Mass Ion Calculations'!$E$8-'Mass Ion Calculations'!$E31)/2-'Mass Ion Calculations'!$D$5),IF('Mass Ion Calculations'!$D$7="Yes", ('Mass Ion Calculations'!$D$15+'AA Exact Masses'!$Q$2+'AA Exact Masses'!$Q$2-'Mass Ion Calculations'!$C$8-'Mass Ion Calculations'!$C31)/2-'Mass Ion Calculations'!$D$5,('Mass Ion Calculations'!$F$15+'AA Exact Masses'!$Q$2+'AA Exact Masses'!$Q$2-'Mass Ion Calculations'!$E$8-'Mass Ion Calculations'!$E31)/2-'Mass Ion Calculations'!$D$5)))</f>
        <v/>
      </c>
      <c r="G30" s="3" t="str">
        <f>IF(OR($B30="",G$3=""),"",IF('Mass Ion Calculations'!$D$6="Yes",IF('Mass Ion Calculations'!$D$7="Yes",('Mass Ion Calculations'!$D$18+'AA Exact Masses'!$Q$2+'AA Exact Masses'!$Q$2-'Mass Ion Calculations'!$C$9-'Mass Ion Calculations'!$C31)/2-'Mass Ion Calculations'!$D$5,('Mass Ion Calculations'!$F$18+'AA Exact Masses'!$Q$2+'AA Exact Masses'!$Q$2-'Mass Ion Calculations'!$E$9-'Mass Ion Calculations'!$E31)/2-'Mass Ion Calculations'!$D$5),IF('Mass Ion Calculations'!$D$7="Yes", ('Mass Ion Calculations'!$D$15+'AA Exact Masses'!$Q$2+'AA Exact Masses'!$Q$2-'Mass Ion Calculations'!$C$9-'Mass Ion Calculations'!$C31)/2-'Mass Ion Calculations'!$D$5,('Mass Ion Calculations'!$F$15+'AA Exact Masses'!$Q$2+'AA Exact Masses'!$Q$2-'Mass Ion Calculations'!$E$9-'Mass Ion Calculations'!$E31)/2-'Mass Ion Calculations'!$D$5)))</f>
        <v/>
      </c>
      <c r="H30" s="3" t="str">
        <f>IF(OR($B30="",H$3=""),"",IF('Mass Ion Calculations'!$D$6="Yes",IF('Mass Ion Calculations'!$D$7="Yes",('Mass Ion Calculations'!$D$18+'AA Exact Masses'!$Q$2+'AA Exact Masses'!$Q$2-'Mass Ion Calculations'!$C$10-'Mass Ion Calculations'!$C31)/2-'Mass Ion Calculations'!$D$5,('Mass Ion Calculations'!$F$18+'AA Exact Masses'!$Q$2+'AA Exact Masses'!$Q$2-'Mass Ion Calculations'!$E$10-'Mass Ion Calculations'!$E31)/2-'Mass Ion Calculations'!$D$5),IF('Mass Ion Calculations'!$D$7="Yes", ('Mass Ion Calculations'!$D$15+'AA Exact Masses'!$Q$2+'AA Exact Masses'!$Q$2-'Mass Ion Calculations'!$C$10-'Mass Ion Calculations'!$C31)/2-'Mass Ion Calculations'!$D$5,('Mass Ion Calculations'!$F$15+'AA Exact Masses'!$Q$2+'AA Exact Masses'!$Q$2-'Mass Ion Calculations'!$E$10-'Mass Ion Calculations'!$E31)/2-'Mass Ion Calculations'!$D$5)))</f>
        <v/>
      </c>
      <c r="I30" s="3" t="str">
        <f>IF(OR($B30="",I$3=""),"",IF('Mass Ion Calculations'!$D$6="Yes",IF('Mass Ion Calculations'!$D$7="Yes",('Mass Ion Calculations'!$D$18+'AA Exact Masses'!$Q$2+'AA Exact Masses'!$Q$2-'Mass Ion Calculations'!$C$11-'Mass Ion Calculations'!$C31)/2-'Mass Ion Calculations'!$D$5,('Mass Ion Calculations'!$F$18+'AA Exact Masses'!$Q$2+'AA Exact Masses'!$Q$2-'Mass Ion Calculations'!$E$11-'Mass Ion Calculations'!$E31)/2-'Mass Ion Calculations'!$D$5),IF('Mass Ion Calculations'!$D$7="Yes", ('Mass Ion Calculations'!$D$15+'AA Exact Masses'!$Q$2+'AA Exact Masses'!$Q$2-'Mass Ion Calculations'!$C$11-'Mass Ion Calculations'!$C31)/2-'Mass Ion Calculations'!$D$5,('Mass Ion Calculations'!$F$15+'AA Exact Masses'!$Q$2+'AA Exact Masses'!$Q$2-'Mass Ion Calculations'!$E$11-'Mass Ion Calculations'!$E31)/2-'Mass Ion Calculations'!$D$5)))</f>
        <v/>
      </c>
      <c r="J30" s="3" t="str">
        <f>IF(OR($B30="",J$3=""),"",IF('Mass Ion Calculations'!$D$6="Yes",IF('Mass Ion Calculations'!$D$7="Yes",('Mass Ion Calculations'!$D$18+'AA Exact Masses'!$Q$2+'AA Exact Masses'!$Q$2-'Mass Ion Calculations'!$C$12-'Mass Ion Calculations'!$C31)/2-'Mass Ion Calculations'!$D$5,('Mass Ion Calculations'!$F$18+'AA Exact Masses'!$Q$2+'AA Exact Masses'!$Q$2-'Mass Ion Calculations'!$E$12-'Mass Ion Calculations'!$E31)/2-'Mass Ion Calculations'!$D$5),IF('Mass Ion Calculations'!$D$7="Yes", ('Mass Ion Calculations'!$D$15+'AA Exact Masses'!$Q$2+'AA Exact Masses'!$Q$2-'Mass Ion Calculations'!$C$12-'Mass Ion Calculations'!$C31)/2-'Mass Ion Calculations'!$D$5,('Mass Ion Calculations'!$F$15+'AA Exact Masses'!$Q$2+'AA Exact Masses'!$Q$2-'Mass Ion Calculations'!$E$12-'Mass Ion Calculations'!$E31)/2-'Mass Ion Calculations'!$D$5)))</f>
        <v/>
      </c>
      <c r="K30" s="3" t="str">
        <f>IF(OR($B30="",K$3=""),"",IF('Mass Ion Calculations'!$D$6="Yes",IF('Mass Ion Calculations'!$D$7="Yes",('Mass Ion Calculations'!$D$18+'AA Exact Masses'!$Q$2+'AA Exact Masses'!$Q$2-'Mass Ion Calculations'!$C$13-'Mass Ion Calculations'!$C31)/2-'Mass Ion Calculations'!$D$5,('Mass Ion Calculations'!$F$18+'AA Exact Masses'!$Q$2+'AA Exact Masses'!$Q$2-'Mass Ion Calculations'!$E$13-'Mass Ion Calculations'!$E31)/2-'Mass Ion Calculations'!$D$5),IF('Mass Ion Calculations'!$D$7="Yes", ('Mass Ion Calculations'!$D$15+'AA Exact Masses'!$Q$2+'AA Exact Masses'!$Q$2-'Mass Ion Calculations'!$C$13-'Mass Ion Calculations'!$C31)/2-'Mass Ion Calculations'!$D$5,('Mass Ion Calculations'!$F$15+'AA Exact Masses'!$Q$2+'AA Exact Masses'!$Q$2-'Mass Ion Calculations'!$E$13-'Mass Ion Calculations'!$E31)/2-'Mass Ion Calculations'!$D$5)))</f>
        <v/>
      </c>
      <c r="L30" s="3" t="str">
        <f>IF(OR($B30="",L$3=""),"",IF('Mass Ion Calculations'!$D$6="Yes",IF('Mass Ion Calculations'!$D$7="Yes",('Mass Ion Calculations'!$D$18+'AA Exact Masses'!$Q$2+'AA Exact Masses'!$Q$2-'Mass Ion Calculations'!$C$14-'Mass Ion Calculations'!$C31)/2-'Mass Ion Calculations'!$D$5,('Mass Ion Calculations'!$F$18+'AA Exact Masses'!$Q$2+'AA Exact Masses'!$Q$2-'Mass Ion Calculations'!$E$14-'Mass Ion Calculations'!$E31)/2-'Mass Ion Calculations'!$D$5),IF('Mass Ion Calculations'!$D$7="Yes", ('Mass Ion Calculations'!$D$15+'AA Exact Masses'!$Q$2+'AA Exact Masses'!$Q$2-'Mass Ion Calculations'!$C$14-'Mass Ion Calculations'!$C31)/2-'Mass Ion Calculations'!$D$5,('Mass Ion Calculations'!$F$15+'AA Exact Masses'!$Q$2+'AA Exact Masses'!$Q$2-'Mass Ion Calculations'!$E$14-'Mass Ion Calculations'!$E31)/2-'Mass Ion Calculations'!$D$5)))</f>
        <v/>
      </c>
      <c r="M30" s="3" t="str">
        <f>IF(OR($B30="",M$3=""),"",IF('Mass Ion Calculations'!$D$6="Yes",IF('Mass Ion Calculations'!$D$7="Yes",('Mass Ion Calculations'!$D$18+'AA Exact Masses'!$Q$2+'AA Exact Masses'!$Q$2-'Mass Ion Calculations'!$C$15-'Mass Ion Calculations'!$C31)/2-'Mass Ion Calculations'!$D$5,('Mass Ion Calculations'!$F$18+'AA Exact Masses'!$Q$2+'AA Exact Masses'!$Q$2-'Mass Ion Calculations'!$E$15-'Mass Ion Calculations'!$E31)/2-'Mass Ion Calculations'!$D$5),IF('Mass Ion Calculations'!$D$7="Yes", ('Mass Ion Calculations'!$D$15+'AA Exact Masses'!$Q$2+'AA Exact Masses'!$Q$2-'Mass Ion Calculations'!$C$15-'Mass Ion Calculations'!$C31)/2-'Mass Ion Calculations'!$D$5,('Mass Ion Calculations'!$F$15+'AA Exact Masses'!$Q$2+'AA Exact Masses'!$Q$2-'Mass Ion Calculations'!$E$15-'Mass Ion Calculations'!$E31)/2-'Mass Ion Calculations'!$D$5)))</f>
        <v/>
      </c>
      <c r="N30" s="3" t="str">
        <f>IF(OR($B30="",N$3=""),"",IF('Mass Ion Calculations'!$D$6="Yes",IF('Mass Ion Calculations'!$D$7="Yes",('Mass Ion Calculations'!$D$18+'AA Exact Masses'!$Q$2+'AA Exact Masses'!$Q$2-'Mass Ion Calculations'!$C$16-'Mass Ion Calculations'!$C31)/2-'Mass Ion Calculations'!$D$5,('Mass Ion Calculations'!$F$18+'AA Exact Masses'!$Q$2+'AA Exact Masses'!$Q$2-'Mass Ion Calculations'!$E$16-'Mass Ion Calculations'!$E31)/2-'Mass Ion Calculations'!$D$5),IF('Mass Ion Calculations'!$D$7="Yes", ('Mass Ion Calculations'!$D$15+'AA Exact Masses'!$Q$2+'AA Exact Masses'!$Q$2-'Mass Ion Calculations'!$C$16-'Mass Ion Calculations'!$C31)/2-'Mass Ion Calculations'!$D$5,('Mass Ion Calculations'!$F$15+'AA Exact Masses'!$Q$2+'AA Exact Masses'!$Q$2-'Mass Ion Calculations'!$E$16-'Mass Ion Calculations'!$E31)/2-'Mass Ion Calculations'!$D$5)))</f>
        <v/>
      </c>
      <c r="O30" s="3" t="str">
        <f>IF(OR($B30="",O$3=""),"",IF('Mass Ion Calculations'!$D$6="Yes",IF('Mass Ion Calculations'!$D$7="Yes",('Mass Ion Calculations'!$D$18+'AA Exact Masses'!$Q$2+'AA Exact Masses'!$Q$2-'Mass Ion Calculations'!$C$17-'Mass Ion Calculations'!$C31)/2-'Mass Ion Calculations'!$D$5,('Mass Ion Calculations'!$F$18+'AA Exact Masses'!$Q$2+'AA Exact Masses'!$Q$2-'Mass Ion Calculations'!$E$17-'Mass Ion Calculations'!$E31)/2-'Mass Ion Calculations'!$D$5),IF('Mass Ion Calculations'!$D$7="Yes", ('Mass Ion Calculations'!$D$15+'AA Exact Masses'!$Q$2+'AA Exact Masses'!$Q$2-'Mass Ion Calculations'!$C$17-'Mass Ion Calculations'!$C31)/2-'Mass Ion Calculations'!$D$5,('Mass Ion Calculations'!$F$15+'AA Exact Masses'!$Q$2+'AA Exact Masses'!$Q$2-'Mass Ion Calculations'!$E$17-'Mass Ion Calculations'!$E31)/2-'Mass Ion Calculations'!$D$5)))</f>
        <v/>
      </c>
      <c r="P30" s="3" t="str">
        <f>IF(OR($B30="",P$3=""),"",IF('Mass Ion Calculations'!$D$6="Yes",IF('Mass Ion Calculations'!$D$7="Yes",('Mass Ion Calculations'!$D$18+'AA Exact Masses'!$Q$2+'AA Exact Masses'!$Q$2-'Mass Ion Calculations'!$C$18-'Mass Ion Calculations'!$C31)/2-'Mass Ion Calculations'!$D$5,('Mass Ion Calculations'!$F$18+'AA Exact Masses'!$Q$2+'AA Exact Masses'!$Q$2-'Mass Ion Calculations'!$E$18-'Mass Ion Calculations'!$E31)/2-'Mass Ion Calculations'!$D$5),IF('Mass Ion Calculations'!$D$7="Yes", ('Mass Ion Calculations'!$D$15+'AA Exact Masses'!$Q$2+'AA Exact Masses'!$Q$2-'Mass Ion Calculations'!$C$18-'Mass Ion Calculations'!$C31)/2-'Mass Ion Calculations'!$D$5,('Mass Ion Calculations'!$F$15+'AA Exact Masses'!$Q$2+'AA Exact Masses'!$Q$2-'Mass Ion Calculations'!$E$18-'Mass Ion Calculations'!$E31)/2-'Mass Ion Calculations'!$D$5)))</f>
        <v/>
      </c>
      <c r="Q30" s="3" t="str">
        <f>IF(OR($B30="",Q$3=""),"",IF('Mass Ion Calculations'!$D$6="Yes",IF('Mass Ion Calculations'!$D$7="Yes",('Mass Ion Calculations'!$D$18+'AA Exact Masses'!$Q$2+'AA Exact Masses'!$Q$2-'Mass Ion Calculations'!$C$19-'Mass Ion Calculations'!$C31)/2-'Mass Ion Calculations'!$D$5,('Mass Ion Calculations'!$F$18+'AA Exact Masses'!$Q$2+'AA Exact Masses'!$Q$2-'Mass Ion Calculations'!$E$19-'Mass Ion Calculations'!$E31)/2-'Mass Ion Calculations'!$D$5),IF('Mass Ion Calculations'!$D$7="Yes", ('Mass Ion Calculations'!$D$15+'AA Exact Masses'!$Q$2+'AA Exact Masses'!$Q$2-'Mass Ion Calculations'!$C$19-'Mass Ion Calculations'!$C31)/2-'Mass Ion Calculations'!$D$5,('Mass Ion Calculations'!$F$15+'AA Exact Masses'!$Q$2+'AA Exact Masses'!$Q$2-'Mass Ion Calculations'!$E$19-'Mass Ion Calculations'!$E31)/2-'Mass Ion Calculations'!$D$5)))</f>
        <v/>
      </c>
      <c r="R30" s="3" t="str">
        <f>IF(OR($B30="",R$3=""),"",IF('Mass Ion Calculations'!$D$6="Yes",IF('Mass Ion Calculations'!$D$7="Yes",('Mass Ion Calculations'!$D$18+'AA Exact Masses'!$Q$2+'AA Exact Masses'!$Q$2-'Mass Ion Calculations'!$C$20-'Mass Ion Calculations'!$C31)/2-'Mass Ion Calculations'!$D$5,('Mass Ion Calculations'!$F$18+'AA Exact Masses'!$Q$2+'AA Exact Masses'!$Q$2-'Mass Ion Calculations'!$E$20-'Mass Ion Calculations'!$E31)/2-'Mass Ion Calculations'!$D$5),IF('Mass Ion Calculations'!$D$7="Yes", ('Mass Ion Calculations'!$D$15+'AA Exact Masses'!$Q$2+'AA Exact Masses'!$Q$2-'Mass Ion Calculations'!$C$20-'Mass Ion Calculations'!$C31)/2-'Mass Ion Calculations'!$D$5,('Mass Ion Calculations'!$F$15+'AA Exact Masses'!$Q$2+'AA Exact Masses'!$Q$2-'Mass Ion Calculations'!$E$20-'Mass Ion Calculations'!$E31)/2-'Mass Ion Calculations'!$D$5)))</f>
        <v/>
      </c>
      <c r="S30" s="3" t="str">
        <f>IF(OR($B30="",S$3=""),"",IF('Mass Ion Calculations'!$D$6="Yes",IF('Mass Ion Calculations'!$D$7="Yes",('Mass Ion Calculations'!$D$18+'AA Exact Masses'!$Q$2+'AA Exact Masses'!$Q$2-'Mass Ion Calculations'!$C$21-'Mass Ion Calculations'!$C31)/2-'Mass Ion Calculations'!$D$5,('Mass Ion Calculations'!$F$18+'AA Exact Masses'!$Q$2+'AA Exact Masses'!$Q$2-'Mass Ion Calculations'!$E$21-'Mass Ion Calculations'!$E31)/2-'Mass Ion Calculations'!$D$5),IF('Mass Ion Calculations'!$D$7="Yes", ('Mass Ion Calculations'!$D$15+'AA Exact Masses'!$Q$2+'AA Exact Masses'!$Q$2-'Mass Ion Calculations'!$C$21-'Mass Ion Calculations'!$C31)/2-'Mass Ion Calculations'!$D$5,('Mass Ion Calculations'!$F$15+'AA Exact Masses'!$Q$2+'AA Exact Masses'!$Q$2-'Mass Ion Calculations'!$E$21-'Mass Ion Calculations'!$E31)/2-'Mass Ion Calculations'!$D$5)))</f>
        <v/>
      </c>
      <c r="T30" s="3" t="str">
        <f>IF(OR($B30="",T$3=""),"",IF('Mass Ion Calculations'!$D$6="Yes",IF('Mass Ion Calculations'!$D$7="Yes",('Mass Ion Calculations'!$D$18+'AA Exact Masses'!$Q$2+'AA Exact Masses'!$Q$2-'Mass Ion Calculations'!$C$22-'Mass Ion Calculations'!$C31)/2-'Mass Ion Calculations'!$D$5,('Mass Ion Calculations'!$F$18+'AA Exact Masses'!$Q$2+'AA Exact Masses'!$Q$2-'Mass Ion Calculations'!$E$22-'Mass Ion Calculations'!$E31)/2-'Mass Ion Calculations'!$D$5),IF('Mass Ion Calculations'!$D$7="Yes", ('Mass Ion Calculations'!$D$15+'AA Exact Masses'!$Q$2+'AA Exact Masses'!$Q$2-'Mass Ion Calculations'!$C$22-'Mass Ion Calculations'!$C31)/2-'Mass Ion Calculations'!$D$5,('Mass Ion Calculations'!$F$15+'AA Exact Masses'!$Q$2+'AA Exact Masses'!$Q$2-'Mass Ion Calculations'!$E$22-'Mass Ion Calculations'!$E31)/2-'Mass Ion Calculations'!$D$5)))</f>
        <v/>
      </c>
      <c r="U30" s="3" t="str">
        <f>IF(OR($B30="",U$3=""),"",IF('Mass Ion Calculations'!$D$6="Yes",IF('Mass Ion Calculations'!$D$7="Yes",('Mass Ion Calculations'!$D$18+'AA Exact Masses'!$Q$2+'AA Exact Masses'!$Q$2-'Mass Ion Calculations'!$C$23-'Mass Ion Calculations'!$C31)/2-'Mass Ion Calculations'!$D$5,('Mass Ion Calculations'!$F$18+'AA Exact Masses'!$Q$2+'AA Exact Masses'!$Q$2-'Mass Ion Calculations'!$E$23-'Mass Ion Calculations'!$E31)/2-'Mass Ion Calculations'!$D$5),IF('Mass Ion Calculations'!$D$7="Yes", ('Mass Ion Calculations'!$D$15+'AA Exact Masses'!$Q$2+'AA Exact Masses'!$Q$2-'Mass Ion Calculations'!$C$23-'Mass Ion Calculations'!$C31)/2-'Mass Ion Calculations'!$D$5,('Mass Ion Calculations'!$F$15+'AA Exact Masses'!$Q$2+'AA Exact Masses'!$Q$2-'Mass Ion Calculations'!$E$23-'Mass Ion Calculations'!$E31)/2-'Mass Ion Calculations'!$D$5)))</f>
        <v/>
      </c>
      <c r="V30" s="3" t="str">
        <f>IF(OR($B30="",V$3=""),"",IF('Mass Ion Calculations'!$D$6="Yes",IF('Mass Ion Calculations'!$D$7="Yes",('Mass Ion Calculations'!$D$18+'AA Exact Masses'!$Q$2+'AA Exact Masses'!$Q$2-'Mass Ion Calculations'!$C$24-'Mass Ion Calculations'!$C31)/2-'Mass Ion Calculations'!$D$5,('Mass Ion Calculations'!$F$18+'AA Exact Masses'!$Q$2+'AA Exact Masses'!$Q$2-'Mass Ion Calculations'!$E$24-'Mass Ion Calculations'!$E31)/2-'Mass Ion Calculations'!$D$5),IF('Mass Ion Calculations'!$D$7="Yes", ('Mass Ion Calculations'!$D$15+'AA Exact Masses'!$Q$2+'AA Exact Masses'!$Q$2-'Mass Ion Calculations'!$C$24-'Mass Ion Calculations'!$C31)/2-'Mass Ion Calculations'!$D$5,('Mass Ion Calculations'!$F$15+'AA Exact Masses'!$Q$2+'AA Exact Masses'!$Q$2-'Mass Ion Calculations'!$E$24-'Mass Ion Calculations'!$E31)/2-'Mass Ion Calculations'!$D$5)))</f>
        <v/>
      </c>
      <c r="W30" s="3" t="str">
        <f>IF(OR($B30="",W$3=""),"",IF('Mass Ion Calculations'!$D$6="Yes",IF('Mass Ion Calculations'!$D$7="Yes",('Mass Ion Calculations'!$D$18+'AA Exact Masses'!$Q$2+'AA Exact Masses'!$Q$2-'Mass Ion Calculations'!$C$25-'Mass Ion Calculations'!$C31)/2-'Mass Ion Calculations'!$D$5,('Mass Ion Calculations'!$F$18+'AA Exact Masses'!$Q$2+'AA Exact Masses'!$Q$2-'Mass Ion Calculations'!$E$25-'Mass Ion Calculations'!$E31)/2-'Mass Ion Calculations'!$D$5),IF('Mass Ion Calculations'!$D$7="Yes", ('Mass Ion Calculations'!$D$15+'AA Exact Masses'!$Q$2+'AA Exact Masses'!$Q$2-'Mass Ion Calculations'!$C$25-'Mass Ion Calculations'!$C31)/2-'Mass Ion Calculations'!$D$5,('Mass Ion Calculations'!$F$15+'AA Exact Masses'!$Q$2+'AA Exact Masses'!$Q$2-'Mass Ion Calculations'!$E$25-'Mass Ion Calculations'!$E31)/2-'Mass Ion Calculations'!$D$5)))</f>
        <v/>
      </c>
      <c r="X30" s="3" t="str">
        <f>IF(OR($B30="",X$3=""),"",IF('Mass Ion Calculations'!$D$6="Yes",IF('Mass Ion Calculations'!$D$7="Yes",('Mass Ion Calculations'!$D$18+'AA Exact Masses'!$Q$2+'AA Exact Masses'!$Q$2-'Mass Ion Calculations'!$C$26-'Mass Ion Calculations'!$C31)/2-'Mass Ion Calculations'!$D$5,('Mass Ion Calculations'!$F$18+'AA Exact Masses'!$Q$2+'AA Exact Masses'!$Q$2-'Mass Ion Calculations'!$E$26-'Mass Ion Calculations'!$E31)/2-'Mass Ion Calculations'!$D$5),IF('Mass Ion Calculations'!$D$7="Yes", ('Mass Ion Calculations'!$D$15+'AA Exact Masses'!$Q$2+'AA Exact Masses'!$Q$2-'Mass Ion Calculations'!$C$26-'Mass Ion Calculations'!$C31)/2-'Mass Ion Calculations'!$D$5,('Mass Ion Calculations'!$F$15+'AA Exact Masses'!$Q$2+'AA Exact Masses'!$Q$2-'Mass Ion Calculations'!$E$26-'Mass Ion Calculations'!$E31)/2-'Mass Ion Calculations'!$D$5)))</f>
        <v/>
      </c>
      <c r="Y30" s="3" t="str">
        <f>IF(OR($B30="",Y$3=""),"",IF('Mass Ion Calculations'!$D$6="Yes",IF('Mass Ion Calculations'!$D$7="Yes",('Mass Ion Calculations'!$D$18+'AA Exact Masses'!$Q$2+'AA Exact Masses'!$Q$2-'Mass Ion Calculations'!$C$27-'Mass Ion Calculations'!$C31)/2-'Mass Ion Calculations'!$D$5,('Mass Ion Calculations'!$F$18+'AA Exact Masses'!$Q$2+'AA Exact Masses'!$Q$2-'Mass Ion Calculations'!$E$27-'Mass Ion Calculations'!$E31)/2-'Mass Ion Calculations'!$D$5),IF('Mass Ion Calculations'!$D$7="Yes", ('Mass Ion Calculations'!$D$15+'AA Exact Masses'!$Q$2+'AA Exact Masses'!$Q$2-'Mass Ion Calculations'!$C$27-'Mass Ion Calculations'!$C31)/2-'Mass Ion Calculations'!$D$5,('Mass Ion Calculations'!$F$15+'AA Exact Masses'!$Q$2+'AA Exact Masses'!$Q$2-'Mass Ion Calculations'!$E$27-'Mass Ion Calculations'!$E31)/2-'Mass Ion Calculations'!$D$5)))</f>
        <v/>
      </c>
      <c r="Z30" s="3" t="str">
        <f>IF(OR($B30="",Z$3=""),"",IF('Mass Ion Calculations'!$D$6="Yes",IF('Mass Ion Calculations'!$D$7="Yes",('Mass Ion Calculations'!$D$18+'AA Exact Masses'!$Q$2+'AA Exact Masses'!$Q$2-'Mass Ion Calculations'!$C$28-'Mass Ion Calculations'!$C31)/2-'Mass Ion Calculations'!$D$5,('Mass Ion Calculations'!$F$18+'AA Exact Masses'!$Q$2+'AA Exact Masses'!$Q$2-'Mass Ion Calculations'!$E$28-'Mass Ion Calculations'!$E31)/2-'Mass Ion Calculations'!$D$5),IF('Mass Ion Calculations'!$D$7="Yes", ('Mass Ion Calculations'!$D$15+'AA Exact Masses'!$Q$2+'AA Exact Masses'!$Q$2-'Mass Ion Calculations'!$C$28-'Mass Ion Calculations'!$C31)/2-'Mass Ion Calculations'!$D$5,('Mass Ion Calculations'!$F$15+'AA Exact Masses'!$Q$2+'AA Exact Masses'!$Q$2-'Mass Ion Calculations'!$E$28-'Mass Ion Calculations'!$E31)/2-'Mass Ion Calculations'!$D$5)))</f>
        <v/>
      </c>
    </row>
  </sheetData>
  <conditionalFormatting sqref="C4:Z30">
    <cfRule type="cellIs" dxfId="2" priority="1" operator="between">
      <formula>2</formula>
      <formula>-2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</vt:i4>
      </vt:variant>
    </vt:vector>
  </HeadingPairs>
  <TitlesOfParts>
    <vt:vector size="20" baseType="lpstr">
      <vt:lpstr>Sequence Calculations</vt:lpstr>
      <vt:lpstr>Mass Ion Calculations</vt:lpstr>
      <vt:lpstr>1st Deletion Fragment</vt:lpstr>
      <vt:lpstr>AA Exact Masses</vt:lpstr>
      <vt:lpstr>H+ Double Deletion</vt:lpstr>
      <vt:lpstr>Na+ Double Deletion</vt:lpstr>
      <vt:lpstr>H+Na Double Deletion</vt:lpstr>
      <vt:lpstr>2Na+ Double Deletion</vt:lpstr>
      <vt:lpstr>2H+Double Deletion</vt:lpstr>
      <vt:lpstr>Hydrophobicity calculations</vt:lpstr>
      <vt:lpstr>Aggregate</vt:lpstr>
      <vt:lpstr>Single Addition</vt:lpstr>
      <vt:lpstr>Molecular Weight</vt:lpstr>
      <vt:lpstr>How Much is Hao</vt:lpstr>
      <vt:lpstr>raw material cost</vt:lpstr>
      <vt:lpstr>AA</vt:lpstr>
      <vt:lpstr>AminoAcid</vt:lpstr>
      <vt:lpstr>Answer</vt:lpstr>
      <vt:lpstr>Answer2</vt:lpstr>
      <vt:lpstr>OneDel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Laptop</dc:creator>
  <cp:lastModifiedBy>Ryan_Laptop</cp:lastModifiedBy>
  <cp:lastPrinted>2013-08-23T05:14:16Z</cp:lastPrinted>
  <dcterms:created xsi:type="dcterms:W3CDTF">2011-08-05T18:26:04Z</dcterms:created>
  <dcterms:modified xsi:type="dcterms:W3CDTF">2014-03-05T19:57:11Z</dcterms:modified>
</cp:coreProperties>
</file>